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30" windowHeight="11760" tabRatio="874" activeTab="20"/>
  </bookViews>
  <sheets>
    <sheet name="H1 " sheetId="25" r:id="rId1"/>
    <sheet name="H2" sheetId="24" r:id="rId2"/>
    <sheet name="H3" sheetId="2" r:id="rId3"/>
    <sheet name="H4" sheetId="3" r:id="rId4"/>
    <sheet name="H5" sheetId="4" r:id="rId5"/>
    <sheet name="H6" sheetId="5" r:id="rId6"/>
    <sheet name="H7" sheetId="6" r:id="rId7"/>
    <sheet name="H8" sheetId="7" r:id="rId8"/>
    <sheet name="H9" sheetId="8" r:id="rId9"/>
    <sheet name="H10" sheetId="9" r:id="rId10"/>
    <sheet name="H11" sheetId="10" r:id="rId11"/>
    <sheet name="H12" sheetId="11" r:id="rId12"/>
    <sheet name="H13" sheetId="12" r:id="rId13"/>
    <sheet name="H14" sheetId="13" r:id="rId14"/>
    <sheet name="H15" sheetId="14" r:id="rId15"/>
    <sheet name="H16" sheetId="16" r:id="rId16"/>
    <sheet name="H17" sheetId="17" r:id="rId17"/>
    <sheet name="H18" sheetId="19" r:id="rId18"/>
    <sheet name="H19" sheetId="20" r:id="rId19"/>
    <sheet name="H20" sheetId="22" r:id="rId20"/>
    <sheet name="H21" sheetId="23" r:id="rId21"/>
  </sheets>
  <externalReferences>
    <externalReference r:id="rId22"/>
    <externalReference r:id="rId23"/>
    <externalReference r:id="rId24"/>
  </externalReferences>
  <definedNames>
    <definedName name="_ftn1" localSheetId="12">'H13'!#REF!</definedName>
    <definedName name="_ftnref1" localSheetId="12">'H13'!$A$20</definedName>
    <definedName name="_Hlk106101374" localSheetId="18">'H19'!#REF!</definedName>
    <definedName name="_Toc119511076" localSheetId="17">'H18'!$B$2</definedName>
    <definedName name="_xlnm.Print_Area" localSheetId="5">'H6'!$A$1:$I$23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4" i="20" l="1"/>
  <c r="E563" i="20"/>
  <c r="D563" i="20"/>
  <c r="E557" i="20"/>
  <c r="E556" i="20"/>
  <c r="D556" i="20"/>
  <c r="E555" i="20"/>
  <c r="E554" i="20"/>
  <c r="E553" i="20"/>
  <c r="E552" i="20"/>
  <c r="E551" i="20"/>
  <c r="E550" i="20"/>
  <c r="D550" i="20"/>
  <c r="D549" i="20"/>
  <c r="E549" i="20" s="1"/>
  <c r="E548" i="20"/>
  <c r="D548" i="20"/>
  <c r="E547" i="20"/>
  <c r="E546" i="20"/>
  <c r="E545" i="20"/>
  <c r="E558" i="20" s="1"/>
  <c r="D545" i="20"/>
  <c r="E538" i="20"/>
  <c r="E537" i="20"/>
  <c r="E536" i="20"/>
  <c r="E539" i="20" s="1"/>
  <c r="E529" i="20"/>
  <c r="E528" i="20"/>
  <c r="E530" i="20" s="1"/>
  <c r="E526" i="20"/>
  <c r="E524" i="20"/>
  <c r="E522" i="20"/>
  <c r="E521" i="20"/>
  <c r="E520" i="20"/>
  <c r="E518" i="20"/>
  <c r="E517" i="20"/>
  <c r="E516" i="20"/>
  <c r="E515" i="20"/>
  <c r="E514" i="20"/>
  <c r="E513" i="20"/>
  <c r="E512" i="20"/>
  <c r="E511" i="20"/>
  <c r="E510" i="20"/>
  <c r="E509" i="20"/>
  <c r="E508" i="20"/>
  <c r="E507" i="20"/>
  <c r="E506" i="20"/>
  <c r="E505" i="20"/>
  <c r="E504" i="20"/>
  <c r="E503" i="20"/>
  <c r="E502" i="20"/>
  <c r="E501" i="20"/>
  <c r="E499" i="20"/>
  <c r="E498" i="20"/>
  <c r="E497" i="20"/>
  <c r="E496" i="20"/>
  <c r="E495" i="20"/>
  <c r="E494" i="20"/>
  <c r="E493" i="20"/>
  <c r="E492" i="20"/>
  <c r="E491" i="20"/>
  <c r="E490" i="20"/>
  <c r="E488" i="20"/>
  <c r="E487" i="20"/>
  <c r="E486" i="20"/>
  <c r="E485" i="20"/>
  <c r="E484" i="20"/>
  <c r="E483" i="20"/>
  <c r="E481" i="20"/>
  <c r="E480" i="20"/>
  <c r="E479" i="20"/>
  <c r="E478" i="20"/>
  <c r="E476" i="20"/>
  <c r="E474" i="20"/>
  <c r="E473" i="20"/>
  <c r="E472" i="20"/>
  <c r="E471" i="20"/>
  <c r="E470" i="20"/>
  <c r="E468" i="20"/>
  <c r="E467" i="20"/>
  <c r="E466" i="20"/>
  <c r="E465" i="20"/>
  <c r="E463" i="20"/>
  <c r="E462" i="20"/>
  <c r="E461" i="20"/>
  <c r="E460" i="20"/>
  <c r="E459" i="20"/>
  <c r="E451" i="20"/>
  <c r="E450" i="20"/>
  <c r="E449" i="20"/>
  <c r="E452" i="20" s="1"/>
  <c r="E447" i="20"/>
  <c r="E446" i="20"/>
  <c r="E444" i="20"/>
  <c r="E443" i="20"/>
  <c r="E441" i="20"/>
  <c r="E439" i="20"/>
  <c r="E438" i="20"/>
  <c r="E437" i="20"/>
  <c r="E436" i="20"/>
  <c r="E434" i="20"/>
  <c r="E432" i="20"/>
  <c r="E431" i="20"/>
  <c r="E430" i="20"/>
  <c r="E421" i="20"/>
  <c r="E420" i="20"/>
  <c r="C418" i="20"/>
  <c r="E418" i="20" s="1"/>
  <c r="B418" i="20"/>
  <c r="A418" i="20"/>
  <c r="E416" i="20"/>
  <c r="E415" i="20"/>
  <c r="E414" i="20"/>
  <c r="E413" i="20"/>
  <c r="D419" i="20" s="1"/>
  <c r="E419" i="20" s="1"/>
  <c r="E412" i="20"/>
  <c r="E411" i="20"/>
  <c r="E410" i="20"/>
  <c r="E409" i="20"/>
  <c r="E407" i="20"/>
  <c r="E406" i="20"/>
  <c r="E405" i="20"/>
  <c r="E404" i="20"/>
  <c r="E396" i="20"/>
  <c r="E395" i="20"/>
  <c r="C393" i="20"/>
  <c r="E393" i="20" s="1"/>
  <c r="B393" i="20"/>
  <c r="A393" i="20"/>
  <c r="E391" i="20"/>
  <c r="E390" i="20"/>
  <c r="E389" i="20"/>
  <c r="E388" i="20"/>
  <c r="E387" i="20"/>
  <c r="D394" i="20" s="1"/>
  <c r="E394" i="20" s="1"/>
  <c r="E386" i="20"/>
  <c r="E385" i="20"/>
  <c r="E383" i="20"/>
  <c r="E382" i="20"/>
  <c r="E381" i="20"/>
  <c r="E380" i="20"/>
  <c r="E372" i="20"/>
  <c r="E371" i="20"/>
  <c r="C369" i="20"/>
  <c r="E369" i="20" s="1"/>
  <c r="B369" i="20"/>
  <c r="A369" i="20"/>
  <c r="C368" i="20"/>
  <c r="E368" i="20" s="1"/>
  <c r="E373" i="20" s="1"/>
  <c r="B368" i="20"/>
  <c r="A368" i="20"/>
  <c r="E366" i="20"/>
  <c r="E365" i="20"/>
  <c r="E364" i="20"/>
  <c r="E363" i="20"/>
  <c r="E362" i="20"/>
  <c r="E361" i="20"/>
  <c r="E360" i="20"/>
  <c r="E359" i="20"/>
  <c r="E358" i="20"/>
  <c r="D370" i="20" s="1"/>
  <c r="E370" i="20" s="1"/>
  <c r="E357" i="20"/>
  <c r="E356" i="20"/>
  <c r="E355" i="20"/>
  <c r="E353" i="20"/>
  <c r="E352" i="20"/>
  <c r="E351" i="20"/>
  <c r="E350" i="20"/>
  <c r="E342" i="20"/>
  <c r="E341" i="20"/>
  <c r="B340" i="20"/>
  <c r="B339" i="20"/>
  <c r="B337" i="20"/>
  <c r="A337" i="20"/>
  <c r="B336" i="20"/>
  <c r="A336" i="20"/>
  <c r="E334" i="20"/>
  <c r="E333" i="20"/>
  <c r="E332" i="20"/>
  <c r="E331" i="20"/>
  <c r="D338" i="20" s="1"/>
  <c r="E338" i="20" s="1"/>
  <c r="E330" i="20"/>
  <c r="E329" i="20"/>
  <c r="E328" i="20"/>
  <c r="E327" i="20"/>
  <c r="C326" i="20"/>
  <c r="E326" i="20" s="1"/>
  <c r="C325" i="20"/>
  <c r="C339" i="20" s="1"/>
  <c r="E339" i="20" s="1"/>
  <c r="E323" i="20"/>
  <c r="E322" i="20"/>
  <c r="E321" i="20"/>
  <c r="E320" i="20"/>
  <c r="E312" i="20"/>
  <c r="E311" i="20"/>
  <c r="E310" i="20"/>
  <c r="E309" i="20"/>
  <c r="E307" i="20"/>
  <c r="C307" i="20"/>
  <c r="B307" i="20"/>
  <c r="A307" i="20"/>
  <c r="E306" i="20"/>
  <c r="C306" i="20"/>
  <c r="B306" i="20"/>
  <c r="A306" i="20"/>
  <c r="E305" i="20"/>
  <c r="C305" i="20"/>
  <c r="B305" i="20"/>
  <c r="A305" i="20"/>
  <c r="E304" i="20"/>
  <c r="C304" i="20"/>
  <c r="B304" i="20"/>
  <c r="A304" i="20"/>
  <c r="E302" i="20"/>
  <c r="E301" i="20"/>
  <c r="E300" i="20"/>
  <c r="E299" i="20"/>
  <c r="E298" i="20"/>
  <c r="C298" i="20"/>
  <c r="E297" i="20"/>
  <c r="C297" i="20"/>
  <c r="E296" i="20"/>
  <c r="E295" i="20"/>
  <c r="E294" i="20"/>
  <c r="E293" i="20"/>
  <c r="E292" i="20"/>
  <c r="E291" i="20"/>
  <c r="E290" i="20"/>
  <c r="E289" i="20"/>
  <c r="E288" i="20"/>
  <c r="C288" i="20"/>
  <c r="E287" i="20"/>
  <c r="E286" i="20"/>
  <c r="E285" i="20"/>
  <c r="C285" i="20"/>
  <c r="E284" i="20"/>
  <c r="C283" i="20"/>
  <c r="E283" i="20" s="1"/>
  <c r="E282" i="20"/>
  <c r="E281" i="20"/>
  <c r="E280" i="20"/>
  <c r="E279" i="20"/>
  <c r="E278" i="20"/>
  <c r="E277" i="20"/>
  <c r="D308" i="20" s="1"/>
  <c r="E308" i="20" s="1"/>
  <c r="E276" i="20"/>
  <c r="E275" i="20"/>
  <c r="E274" i="20"/>
  <c r="E273" i="20"/>
  <c r="E272" i="20"/>
  <c r="E270" i="20"/>
  <c r="E269" i="20"/>
  <c r="E268" i="20"/>
  <c r="E267" i="20"/>
  <c r="E266" i="20"/>
  <c r="E258" i="20"/>
  <c r="E257" i="20"/>
  <c r="E256" i="20"/>
  <c r="E255" i="20"/>
  <c r="E254" i="20"/>
  <c r="E253" i="20"/>
  <c r="E252" i="20"/>
  <c r="E251" i="20"/>
  <c r="E250" i="20"/>
  <c r="E249" i="20"/>
  <c r="E259" i="20" s="1"/>
  <c r="E247" i="20"/>
  <c r="E246" i="20"/>
  <c r="E245" i="20"/>
  <c r="E244" i="20"/>
  <c r="E243" i="20"/>
  <c r="E242" i="20"/>
  <c r="E241" i="20"/>
  <c r="E240" i="20"/>
  <c r="E239" i="20"/>
  <c r="E238" i="20"/>
  <c r="E236" i="20"/>
  <c r="E235" i="20"/>
  <c r="E234" i="20"/>
  <c r="E233" i="20"/>
  <c r="E232" i="20"/>
  <c r="E231" i="20"/>
  <c r="E223" i="20"/>
  <c r="E222" i="20"/>
  <c r="E221" i="20"/>
  <c r="E220" i="20"/>
  <c r="E224" i="20" s="1"/>
  <c r="E219" i="20"/>
  <c r="E218" i="20"/>
  <c r="E217" i="20"/>
  <c r="E215" i="20"/>
  <c r="E214" i="20"/>
  <c r="E213" i="20"/>
  <c r="E212" i="20"/>
  <c r="E211" i="20"/>
  <c r="E210" i="20"/>
  <c r="E209" i="20"/>
  <c r="E207" i="20"/>
  <c r="E206" i="20"/>
  <c r="E205" i="20"/>
  <c r="E204" i="20"/>
  <c r="E203" i="20"/>
  <c r="E195" i="20"/>
  <c r="E194" i="20"/>
  <c r="E193" i="20"/>
  <c r="E192" i="20"/>
  <c r="E196" i="20" s="1"/>
  <c r="E191" i="20"/>
  <c r="E190" i="20"/>
  <c r="E189" i="20"/>
  <c r="E187" i="20"/>
  <c r="E186" i="20"/>
  <c r="E185" i="20"/>
  <c r="E184" i="20"/>
  <c r="E183" i="20"/>
  <c r="E182" i="20"/>
  <c r="E181" i="20"/>
  <c r="E180" i="20"/>
  <c r="E179" i="20"/>
  <c r="E178" i="20"/>
  <c r="E177" i="20"/>
  <c r="E176" i="20"/>
  <c r="E175" i="20"/>
  <c r="E174" i="20"/>
  <c r="E173" i="20"/>
  <c r="E171" i="20"/>
  <c r="E170" i="20"/>
  <c r="E169" i="20"/>
  <c r="E168" i="20"/>
  <c r="E167" i="20"/>
  <c r="D159" i="20"/>
  <c r="E159" i="20" s="1"/>
  <c r="E158" i="20"/>
  <c r="E157" i="20"/>
  <c r="E156" i="20"/>
  <c r="E155" i="20"/>
  <c r="C154" i="20"/>
  <c r="E154" i="20" s="1"/>
  <c r="C153" i="20"/>
  <c r="E153" i="20" s="1"/>
  <c r="E152" i="20"/>
  <c r="E150" i="20"/>
  <c r="E149" i="20"/>
  <c r="E148" i="20"/>
  <c r="E147" i="20"/>
  <c r="E146" i="20"/>
  <c r="C146" i="20"/>
  <c r="E145" i="20"/>
  <c r="E144" i="20"/>
  <c r="E143" i="20"/>
  <c r="E142" i="20"/>
  <c r="E141" i="20"/>
  <c r="E140" i="20"/>
  <c r="E139" i="20"/>
  <c r="E137" i="20"/>
  <c r="E136" i="20"/>
  <c r="E135" i="20"/>
  <c r="E134" i="20"/>
  <c r="E133" i="20"/>
  <c r="E125" i="20"/>
  <c r="E124" i="20"/>
  <c r="E123" i="20"/>
  <c r="E122" i="20"/>
  <c r="E121" i="20"/>
  <c r="E120" i="20"/>
  <c r="E119" i="20"/>
  <c r="E118" i="20"/>
  <c r="C117" i="20"/>
  <c r="E117" i="20" s="1"/>
  <c r="E126" i="20" s="1"/>
  <c r="E116" i="20"/>
  <c r="E114" i="20"/>
  <c r="E113" i="20"/>
  <c r="E112" i="20"/>
  <c r="E111" i="20"/>
  <c r="E110" i="20"/>
  <c r="E109" i="20"/>
  <c r="E108" i="20"/>
  <c r="E107" i="20"/>
  <c r="E106" i="20"/>
  <c r="C106" i="20"/>
  <c r="E105" i="20"/>
  <c r="E104" i="20"/>
  <c r="E102" i="20"/>
  <c r="C102" i="20"/>
  <c r="E101" i="20"/>
  <c r="C101" i="20"/>
  <c r="E100" i="20"/>
  <c r="C100" i="20"/>
  <c r="E99" i="20"/>
  <c r="C99" i="20"/>
  <c r="E98" i="20"/>
  <c r="C98" i="20"/>
  <c r="E90" i="20"/>
  <c r="E89" i="20"/>
  <c r="E88" i="20"/>
  <c r="E87" i="20"/>
  <c r="E86" i="20"/>
  <c r="E85" i="20"/>
  <c r="E84" i="20"/>
  <c r="E82" i="20"/>
  <c r="E81" i="20"/>
  <c r="E80" i="20"/>
  <c r="E79" i="20"/>
  <c r="E78" i="20"/>
  <c r="E77" i="20"/>
  <c r="E76" i="20"/>
  <c r="E75" i="20"/>
  <c r="E74" i="20"/>
  <c r="E73" i="20"/>
  <c r="E72" i="20"/>
  <c r="E71" i="20"/>
  <c r="E70" i="20"/>
  <c r="E69" i="20"/>
  <c r="E68" i="20"/>
  <c r="E66" i="20"/>
  <c r="E65" i="20"/>
  <c r="E64" i="20"/>
  <c r="E63" i="20"/>
  <c r="E62" i="20"/>
  <c r="E61" i="20"/>
  <c r="E91" i="20" s="1"/>
  <c r="E53" i="20"/>
  <c r="E54" i="20" s="1"/>
  <c r="E45" i="20"/>
  <c r="D46" i="20" s="1"/>
  <c r="E46" i="20" s="1"/>
  <c r="E34" i="20"/>
  <c r="E33" i="20"/>
  <c r="E32" i="20"/>
  <c r="E31" i="20"/>
  <c r="E30" i="20"/>
  <c r="E29" i="20"/>
  <c r="E28" i="20"/>
  <c r="E27" i="20"/>
  <c r="E26" i="20"/>
  <c r="E24" i="20"/>
  <c r="E23" i="20"/>
  <c r="E22" i="20"/>
  <c r="E21" i="20"/>
  <c r="E20" i="20"/>
  <c r="E19" i="20"/>
  <c r="E18" i="20"/>
  <c r="E17" i="20"/>
  <c r="E16" i="20"/>
  <c r="E15" i="20"/>
  <c r="E14" i="20"/>
  <c r="E13" i="20"/>
  <c r="E12" i="20"/>
  <c r="E11" i="20"/>
  <c r="E10" i="20"/>
  <c r="E9" i="20"/>
  <c r="E8" i="20"/>
  <c r="E7" i="20"/>
  <c r="E313" i="20" l="1"/>
  <c r="E397" i="20"/>
  <c r="E422" i="20"/>
  <c r="E160" i="20"/>
  <c r="E47" i="20"/>
  <c r="E325" i="20"/>
  <c r="C336" i="20"/>
  <c r="E336" i="20" s="1"/>
  <c r="C337" i="20"/>
  <c r="E337" i="20" s="1"/>
  <c r="C340" i="20"/>
  <c r="E340" i="20" s="1"/>
  <c r="E343" i="20" l="1"/>
  <c r="F33" i="19" l="1"/>
  <c r="E27" i="19"/>
  <c r="F27" i="19" s="1"/>
  <c r="E32" i="19"/>
  <c r="F32" i="19" s="1"/>
  <c r="E6" i="19"/>
  <c r="F6" i="19" s="1"/>
  <c r="E7" i="19"/>
  <c r="F7" i="19" s="1"/>
  <c r="E8" i="19"/>
  <c r="F8" i="19" s="1"/>
  <c r="E9" i="19"/>
  <c r="F9" i="19" s="1"/>
  <c r="E28" i="19"/>
  <c r="F28" i="19" s="1"/>
  <c r="E26" i="19"/>
  <c r="F26" i="19" s="1"/>
  <c r="E25" i="19"/>
  <c r="F25" i="19" s="1"/>
  <c r="E24" i="19"/>
  <c r="F24" i="19" s="1"/>
  <c r="E23" i="19"/>
  <c r="F23" i="19" s="1"/>
  <c r="E22" i="19"/>
  <c r="F22" i="19" s="1"/>
  <c r="E21" i="19"/>
  <c r="F21" i="19" s="1"/>
  <c r="E20" i="19"/>
  <c r="F20" i="19" s="1"/>
  <c r="E19" i="19"/>
  <c r="F19" i="19" s="1"/>
  <c r="E18" i="19"/>
  <c r="F18" i="19" s="1"/>
  <c r="E17" i="19"/>
  <c r="F17" i="19" s="1"/>
  <c r="E16" i="19"/>
  <c r="F16" i="19" s="1"/>
  <c r="E15" i="19"/>
  <c r="F15" i="19" s="1"/>
  <c r="E14" i="19"/>
  <c r="F14" i="19" s="1"/>
  <c r="E10" i="19"/>
  <c r="F10" i="19" s="1"/>
  <c r="E5" i="19"/>
  <c r="F5" i="19" s="1"/>
  <c r="F29" i="19" l="1"/>
  <c r="F11" i="19"/>
  <c r="A3" i="9"/>
  <c r="A5" i="9"/>
  <c r="G19" i="5" l="1"/>
  <c r="H19" i="5" s="1"/>
  <c r="H18" i="5"/>
  <c r="F19" i="5"/>
  <c r="E19" i="5"/>
  <c r="D19" i="5"/>
  <c r="G14" i="14" l="1"/>
  <c r="G8" i="14"/>
  <c r="G34" i="14" l="1"/>
  <c r="G29" i="14"/>
  <c r="G23" i="14"/>
  <c r="G17" i="14"/>
  <c r="G16" i="14"/>
  <c r="G15" i="14"/>
  <c r="G13" i="14"/>
  <c r="G11" i="14"/>
  <c r="G10" i="14"/>
  <c r="G9" i="14"/>
  <c r="G7" i="14"/>
  <c r="G6" i="14"/>
  <c r="G5" i="14"/>
  <c r="G4" i="14"/>
  <c r="G21" i="5" l="1"/>
  <c r="F21" i="5"/>
  <c r="E21" i="5"/>
  <c r="D21" i="5"/>
  <c r="G17" i="5"/>
  <c r="F17" i="5"/>
  <c r="E17" i="5"/>
  <c r="D17" i="5"/>
  <c r="H16" i="5"/>
  <c r="G15" i="5"/>
  <c r="F15" i="5"/>
  <c r="E15" i="5"/>
  <c r="D15" i="5"/>
  <c r="H14" i="5"/>
  <c r="G13" i="5"/>
  <c r="F13" i="5"/>
  <c r="E13" i="5"/>
  <c r="D13" i="5"/>
  <c r="H12" i="5"/>
  <c r="G11" i="5"/>
  <c r="F11" i="5"/>
  <c r="E11" i="5"/>
  <c r="D10" i="5"/>
  <c r="D11" i="5" s="1"/>
  <c r="G8" i="5"/>
  <c r="G9" i="5" s="1"/>
  <c r="E8" i="5"/>
  <c r="D8" i="5"/>
  <c r="C8" i="5"/>
  <c r="G7" i="5"/>
  <c r="F7" i="5"/>
  <c r="E7" i="5"/>
  <c r="D7" i="5"/>
  <c r="G4" i="5"/>
  <c r="F4" i="5"/>
  <c r="F5" i="5" s="1"/>
  <c r="E4" i="5"/>
  <c r="D4" i="5"/>
  <c r="D5" i="5" s="1"/>
  <c r="C4" i="5"/>
  <c r="H21" i="5" l="1"/>
  <c r="H10" i="5"/>
  <c r="G5" i="5"/>
  <c r="H13" i="5"/>
  <c r="H15" i="5"/>
  <c r="E5" i="5"/>
  <c r="D9" i="5"/>
  <c r="E9" i="5"/>
  <c r="H7" i="5"/>
  <c r="F9" i="5"/>
  <c r="H11" i="5"/>
  <c r="H17" i="5"/>
  <c r="H8" i="5"/>
  <c r="H9" i="5" l="1"/>
  <c r="H5" i="5"/>
  <c r="A31" i="2" l="1"/>
</calcChain>
</file>

<file path=xl/comments1.xml><?xml version="1.0" encoding="utf-8"?>
<comments xmlns="http://schemas.openxmlformats.org/spreadsheetml/2006/main">
  <authors>
    <author>tc={399F0ADF-1D50-4928-818D-FD4F818DD3D3}</author>
  </authors>
  <commentList>
    <comment ref="A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Favor colocar las observaciones que les fueron enviadas antes</t>
        </r>
      </text>
    </comment>
  </commentList>
</comments>
</file>

<file path=xl/comments10.xml><?xml version="1.0" encoding="utf-8"?>
<comments xmlns="http://schemas.openxmlformats.org/spreadsheetml/2006/main">
  <authors>
    <author>tc={51D2D26B-09A0-4C97-9145-CA845CE23959}</author>
  </authors>
  <commentList>
    <comment ref="A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herramienta deben realizarla por problema, aquí solamente tienen 1 problema</t>
        </r>
      </text>
    </comment>
  </commentList>
</comments>
</file>

<file path=xl/comments11.xml><?xml version="1.0" encoding="utf-8"?>
<comments xmlns="http://schemas.openxmlformats.org/spreadsheetml/2006/main">
  <authors>
    <author>tc={EBE39069-D8D4-4530-A31F-39C5D893C446}</author>
    <author>tc={21B39EF6-A7E6-4E8C-812E-05F004245882}</author>
  </authors>
  <commentList>
    <comment ref="G47"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Completar los espacios vacíos</t>
        </r>
      </text>
    </comment>
    <comment ref="B73" authorI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Deben colocar el resultado al que apuntan</t>
        </r>
      </text>
    </comment>
  </commentList>
</comments>
</file>

<file path=xl/comments12.xml><?xml version="1.0" encoding="utf-8"?>
<comments xmlns="http://schemas.openxmlformats.org/spreadsheetml/2006/main">
  <authors>
    <author>tc={19B991E8-E31E-415D-819D-E35A654FBF56}</author>
  </authors>
  <commentList>
    <comment ref="F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Aquí colocaron los resultados PNPSP no los resultados estratégicos de SU institución, aquí deben colocar los resultados estratégicos (institucionales)</t>
        </r>
      </text>
    </comment>
  </commentList>
</comments>
</file>

<file path=xl/comments13.xml><?xml version="1.0" encoding="utf-8"?>
<comments xmlns="http://schemas.openxmlformats.org/spreadsheetml/2006/main">
  <authors>
    <author>tc={93553757-6CB7-46AB-9B85-85DF336A836F}</author>
  </authors>
  <commentList>
    <comment ref="A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tienen la herramienta 17, entiendo que tienen la información para poder completar la H16</t>
        </r>
      </text>
    </comment>
  </commentList>
</comments>
</file>

<file path=xl/comments14.xml><?xml version="1.0" encoding="utf-8"?>
<comments xmlns="http://schemas.openxmlformats.org/spreadsheetml/2006/main">
  <authors>
    <author>tc={C68F2CDF-DDFF-4B24-ADE0-3C5736EDA836}</author>
  </authors>
  <commentList>
    <comment ref="A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Por qué no tienen un producto de tratamiento de aguas residuales? Solo tienen de recolección de agua</t>
        </r>
      </text>
    </comment>
  </commentList>
</comments>
</file>

<file path=xl/comments2.xml><?xml version="1.0" encoding="utf-8"?>
<comments xmlns="http://schemas.openxmlformats.org/spreadsheetml/2006/main">
  <authors>
    <author>tc={323B792D-B1D2-43C7-B8F9-FB68F23087F3}</author>
  </authors>
  <commentList>
    <comment ref="B1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Deben explicar cómo son complementarios</t>
        </r>
      </text>
    </comment>
  </commentList>
</comments>
</file>

<file path=xl/comments3.xml><?xml version="1.0" encoding="utf-8"?>
<comments xmlns="http://schemas.openxmlformats.org/spreadsheetml/2006/main">
  <authors>
    <author>tc={15DCBBE7-B25A-4420-8FDA-A6E82716C16A}</author>
  </authors>
  <commentList>
    <comment ref="C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Como aquí se está viendo a nivel global de PNPSP, CORAABO no es la única responsable, aquí deben agregar a las demás CORAAs e INAPA</t>
        </r>
      </text>
    </comment>
  </commentList>
</comments>
</file>

<file path=xl/comments4.xml><?xml version="1.0" encoding="utf-8"?>
<comments xmlns="http://schemas.openxmlformats.org/spreadsheetml/2006/main">
  <authors>
    <author>tc={B53F0EB9-790C-44D3-9E0E-A6483737AA08}</author>
  </authors>
  <commentList>
    <comment ref="C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Deben separar por resultado, y además, no colocaron el resultado referente a la gestión</t>
        </r>
      </text>
    </comment>
  </commentList>
</comments>
</file>

<file path=xl/comments5.xml><?xml version="1.0" encoding="utf-8"?>
<comments xmlns="http://schemas.openxmlformats.org/spreadsheetml/2006/main">
  <authors>
    <author>tc={9BF55CDA-DDFD-4039-A835-CB3541534724}</author>
    <author>tc={D3444061-61C7-43C4-8601-9E92DC50B6FD}</author>
  </authors>
  <commentList>
    <comment ref="C4"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 cuanto a su rol como institución, qué debe abordarse para avanzar en sostenibilidad ambiental</t>
        </r>
      </text>
    </comment>
    <comment ref="C5" authorI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Recomiendo incluir también datos estadísticos que sustenten lo mencionado</t>
        </r>
      </text>
    </comment>
  </commentList>
</comments>
</file>

<file path=xl/comments6.xml><?xml version="1.0" encoding="utf-8"?>
<comments xmlns="http://schemas.openxmlformats.org/spreadsheetml/2006/main">
  <authors>
    <author>tc={EE1B636C-E954-4252-B50B-643DD049CB6E}</author>
  </authors>
  <commentList>
    <comment ref="A4" author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Recomendamos separar el servicio de agua potable y el de saneamiento </t>
        </r>
      </text>
    </comment>
  </commentList>
</comments>
</file>

<file path=xl/comments7.xml><?xml version="1.0" encoding="utf-8"?>
<comments xmlns="http://schemas.openxmlformats.org/spreadsheetml/2006/main">
  <authors>
    <author>tc={4B455054-4AF7-4560-9964-1451B0C3DAFC}</author>
  </authors>
  <commentList>
    <comment ref="A3" author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Recomendamos que separen el servicio del agua potable del servicio de saneamiento, teniendo así 3 problemas
</t>
        </r>
      </text>
    </comment>
  </commentList>
</comments>
</file>

<file path=xl/comments8.xml><?xml version="1.0" encoding="utf-8"?>
<comments xmlns="http://schemas.openxmlformats.org/spreadsheetml/2006/main">
  <authors>
    <author>tc={F61B2675-60F7-4C7D-9267-8F75ABBDA99E}</author>
    <author>tc={F03A6F65-8717-4E54-A5E1-A82B10FA3103}</author>
  </authors>
  <commentList>
    <comment ref="A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Esto cambiará una vez modifiquen los problemas</t>
        </r>
      </text>
    </comment>
    <comment ref="D3" authorI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Recomendamos incorporar otro tipo de referencias, que no sean solo ustedes, otras CORAAs han usado por ejemplo Banco Mundial, recomendamos agreguen fuentes de este tipo</t>
        </r>
      </text>
    </comment>
  </commentList>
</comments>
</file>

<file path=xl/comments9.xml><?xml version="1.0" encoding="utf-8"?>
<comments xmlns="http://schemas.openxmlformats.org/spreadsheetml/2006/main">
  <authors>
    <author>tc={398F3800-5DC8-4F18-80A6-8C144ACB206D}</author>
  </authors>
  <commentList>
    <comment ref="A3"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Cambiará una vez modifiquen los problemas</t>
        </r>
      </text>
    </comment>
  </commentList>
</comments>
</file>

<file path=xl/sharedStrings.xml><?xml version="1.0" encoding="utf-8"?>
<sst xmlns="http://schemas.openxmlformats.org/spreadsheetml/2006/main" count="1998" uniqueCount="951">
  <si>
    <t>Herramienta 1. Análisis del Marco Normativo</t>
  </si>
  <si>
    <t>(1) Instrumento legal</t>
  </si>
  <si>
    <t>(2) Objetivo</t>
  </si>
  <si>
    <t>(3) Responsabilidades de la institución</t>
  </si>
  <si>
    <t>(4) Población de Referencia</t>
  </si>
  <si>
    <t>Herramienta 2. Sistematización de la revisión de la misión institucional</t>
  </si>
  <si>
    <t>Pregunta</t>
  </si>
  <si>
    <t>Reflexión</t>
  </si>
  <si>
    <t> </t>
  </si>
  <si>
    <t>Herramienta 3. Adopción de prioridades estratégicas</t>
  </si>
  <si>
    <t>Denominación de Resultado PNPSP</t>
  </si>
  <si>
    <t>Indicador Resultado</t>
  </si>
  <si>
    <t xml:space="preserve">Institución Responsable </t>
  </si>
  <si>
    <t>Institución Involucrada</t>
  </si>
  <si>
    <t>Marco legal</t>
  </si>
  <si>
    <t>Área responsable</t>
  </si>
  <si>
    <t>Herramienta 4. Preguntas orientadoras para el análisis de la problemática institucional</t>
  </si>
  <si>
    <t>Resultado PNPSP identificado:</t>
  </si>
  <si>
    <t>Problema(s) asociado al resultado PNPSP:</t>
  </si>
  <si>
    <t>Herramienta 5. Adopción de los enfoques de las políticas transversales</t>
  </si>
  <si>
    <r>
      <t>Enfoque género y derechos humanos</t>
    </r>
    <r>
      <rPr>
        <sz val="11"/>
        <color theme="1"/>
        <rFont val="Times New Roman"/>
        <family val="1"/>
      </rPr>
      <t> </t>
    </r>
  </si>
  <si>
    <t>Enfoque sostenibilidad ambiental</t>
  </si>
  <si>
    <t>Enfoque cohesión territorial</t>
  </si>
  <si>
    <t xml:space="preserve">Enfoque gestión de riesgo de desastres </t>
  </si>
  <si>
    <t/>
  </si>
  <si>
    <t>Herramienta 6. Matriz de Análisis del Comportamiento de la Problemática</t>
  </si>
  <si>
    <t>Problema</t>
  </si>
  <si>
    <t>Indicador del problema</t>
  </si>
  <si>
    <t>Promedios</t>
  </si>
  <si>
    <t>Denominación del problema</t>
  </si>
  <si>
    <t xml:space="preserve">Indicador  </t>
  </si>
  <si>
    <t xml:space="preserve">Valor promerdio </t>
  </si>
  <si>
    <t>N/A</t>
  </si>
  <si>
    <t>Herramienta 7. Priorización de problemas</t>
  </si>
  <si>
    <t xml:space="preserve">Problema </t>
  </si>
  <si>
    <t>Ponderación de Criterios</t>
  </si>
  <si>
    <t>Valor final</t>
  </si>
  <si>
    <t>Pertinencia</t>
  </si>
  <si>
    <t>Apoyo</t>
  </si>
  <si>
    <t>Capacidad Institucional</t>
  </si>
  <si>
    <t>Herramienta 8. Matriz de Causalidad</t>
  </si>
  <si>
    <t>Causas directas</t>
  </si>
  <si>
    <t>Causas indirectas</t>
  </si>
  <si>
    <t>Referencia bibliográfica</t>
  </si>
  <si>
    <t>Herramienta 9. Matriz de Efectos</t>
  </si>
  <si>
    <t>Efectos directos</t>
  </si>
  <si>
    <t>Efectos indirectos</t>
  </si>
  <si>
    <t>Herramienta 10. Análisis de Involucrados</t>
  </si>
  <si>
    <t>(2) Causa directa</t>
  </si>
  <si>
    <t xml:space="preserve"> (3) Causa indirecta </t>
  </si>
  <si>
    <t>(4) Nombre de la institución/actores</t>
  </si>
  <si>
    <t>(5) Base legal</t>
  </si>
  <si>
    <t>(6) Acciones identificadas sobre la base legal</t>
  </si>
  <si>
    <t>(7) Territorio/s donde acciona</t>
  </si>
  <si>
    <t>(8) Tipo de institución</t>
  </si>
  <si>
    <t>Herramienta 11. Elaboración del FODA</t>
  </si>
  <si>
    <t>Ambiente Interno: 
Mirar la disponibilidad de recursos de capital, personal, activos, calidad de producto, estructura interna y de mercado, percepción de la población, entre otros.</t>
  </si>
  <si>
    <t>Fortalezas</t>
  </si>
  <si>
    <t>Debilidades</t>
  </si>
  <si>
    <t xml:space="preserve">Ambiente externo: 
Mirar hechos o eventos de carácter político, legal, social o tecnológico  </t>
  </si>
  <si>
    <t xml:space="preserve">Oportunidades </t>
  </si>
  <si>
    <t xml:space="preserve">Amenazas </t>
  </si>
  <si>
    <t>F1</t>
  </si>
  <si>
    <t>D1</t>
  </si>
  <si>
    <t>F2</t>
  </si>
  <si>
    <t>D2</t>
  </si>
  <si>
    <t>Oportunidades</t>
  </si>
  <si>
    <t>Estrategias FO</t>
  </si>
  <si>
    <t>Estrategias DO</t>
  </si>
  <si>
    <t>O1</t>
  </si>
  <si>
    <t>FO 1</t>
  </si>
  <si>
    <t>DO 1</t>
  </si>
  <si>
    <t>O2</t>
  </si>
  <si>
    <t>Amenazas</t>
  </si>
  <si>
    <t>Estrategias FA</t>
  </si>
  <si>
    <t>Estrategias DA</t>
  </si>
  <si>
    <t>A1</t>
  </si>
  <si>
    <t>FA 1</t>
  </si>
  <si>
    <t>DA 1</t>
  </si>
  <si>
    <t>A2</t>
  </si>
  <si>
    <t>FA 2</t>
  </si>
  <si>
    <t>DA 2</t>
  </si>
  <si>
    <t>Resultado</t>
  </si>
  <si>
    <t>Tipo de resultado</t>
  </si>
  <si>
    <t>Tipo de indicador</t>
  </si>
  <si>
    <t>Definición del indicador</t>
  </si>
  <si>
    <t>Unidad de medida</t>
  </si>
  <si>
    <t>Numerador</t>
  </si>
  <si>
    <t>Denominador</t>
  </si>
  <si>
    <t>Método de cálculo</t>
  </si>
  <si>
    <t>Descripción de la metodología de cálculo</t>
  </si>
  <si>
    <t>Sentido esperado del indicador</t>
  </si>
  <si>
    <t>Desafíos</t>
  </si>
  <si>
    <t>Desagregación</t>
  </si>
  <si>
    <t>Periodicidad de la medición</t>
  </si>
  <si>
    <t>Fuente del numerador</t>
  </si>
  <si>
    <t>Fuente del denominador</t>
  </si>
  <si>
    <t>Fuente de alimentación del SNMyE</t>
  </si>
  <si>
    <t>Tipo de fuente[1]</t>
  </si>
  <si>
    <t>Lectura / Interpretación del indicador</t>
  </si>
  <si>
    <t>Comentarios u observaciones</t>
  </si>
  <si>
    <t>Herramienta 14. Matriz de metas de resultados</t>
  </si>
  <si>
    <t>ID.</t>
  </si>
  <si>
    <t>Indicador</t>
  </si>
  <si>
    <t xml:space="preserve">Línea base </t>
  </si>
  <si>
    <t>Metas</t>
  </si>
  <si>
    <t>Medios de Verificación</t>
  </si>
  <si>
    <t>Redacción completa del Resultado</t>
  </si>
  <si>
    <t>Año</t>
  </si>
  <si>
    <t>Valor</t>
  </si>
  <si>
    <t>Herramienta 15. Matriz de Vinculación de Estrategias Institucionales y Resultados Estratégicos</t>
  </si>
  <si>
    <t xml:space="preserve">Estrategias </t>
  </si>
  <si>
    <t>Puntuación Total</t>
  </si>
  <si>
    <t>Herramienta 16. Elementos para la definición y estandarización de los productos</t>
  </si>
  <si>
    <t>(1) ¿Para qué?</t>
  </si>
  <si>
    <t>(2) ¿Quién recibe los bienes y servicios?</t>
  </si>
  <si>
    <t>(3) ¿Qué bienes y servicios se entregan?</t>
  </si>
  <si>
    <t>(3) Redacción de producto</t>
  </si>
  <si>
    <t>Resultado Estratégico</t>
  </si>
  <si>
    <t>Resultados intermedios</t>
  </si>
  <si>
    <t>(2+3)</t>
  </si>
  <si>
    <t xml:space="preserve">Resultado estratégico definido en la cadena de resultados </t>
  </si>
  <si>
    <t xml:space="preserve">Resultado intermedio definido en la cadena de resultados </t>
  </si>
  <si>
    <t>a quien se dirige el bien o servicio. Aquí se debe colocar la población potencial.</t>
  </si>
  <si>
    <t>Bienes = tangibles</t>
  </si>
  <si>
    <t>A quien se entrega (resumido del punto 2) + el bien o servicio (recibido por la población)</t>
  </si>
  <si>
    <t>Unidad operativa responsable de la entrega del bien o servicio institución y su respectiva</t>
  </si>
  <si>
    <t>Servicios = intangibles</t>
  </si>
  <si>
    <t xml:space="preserve">Herramienta 17. Matriz para la definición de metas de producción </t>
  </si>
  <si>
    <t>Unidad de Medida</t>
  </si>
  <si>
    <t>Meta</t>
  </si>
  <si>
    <t>Herramienta 18. Costeo de los bienes y servicios</t>
  </si>
  <si>
    <t xml:space="preserve"> Producto: </t>
  </si>
  <si>
    <t>Actividades</t>
  </si>
  <si>
    <t>Cantidad de unidades a costear por año</t>
  </si>
  <si>
    <t>Costo individual de la actividad</t>
  </si>
  <si>
    <t>Total</t>
  </si>
  <si>
    <t>Herramienta 19. Costeo de Actividades</t>
  </si>
  <si>
    <t>Insumo</t>
  </si>
  <si>
    <t>Unidad de medida del insumo</t>
  </si>
  <si>
    <t>Cantidad del insumo</t>
  </si>
  <si>
    <t>Costo unitario del insumo</t>
  </si>
  <si>
    <t>Subtotal del insumo</t>
  </si>
  <si>
    <t>Costo total de la actividad</t>
  </si>
  <si>
    <t>Herramienta 20. Matriz para la definición de la Visión</t>
  </si>
  <si>
    <t>Pregunta generadora</t>
  </si>
  <si>
    <t>Interpretación</t>
  </si>
  <si>
    <t>¿Qué y cómo se quiere ser dentro de 4 años[1]?</t>
  </si>
  <si>
    <t>¿En qué se quiere convertir?</t>
  </si>
  <si>
    <t>¿Para quién se trabaja?</t>
  </si>
  <si>
    <t xml:space="preserve">¿En qué se diferencia de otra institución? </t>
  </si>
  <si>
    <t>Herramienta 24. Monitoreo de los resultados</t>
  </si>
  <si>
    <t>Resultados</t>
  </si>
  <si>
    <t>Valor línea base (año)</t>
  </si>
  <si>
    <t>Meta programada</t>
  </si>
  <si>
    <t>Meta ejecutada</t>
  </si>
  <si>
    <t>Valor Meta acumulada final (año xxx)</t>
  </si>
  <si>
    <t>*Nivel de avance</t>
  </si>
  <si>
    <t>Observaciones</t>
  </si>
  <si>
    <t>A3</t>
  </si>
  <si>
    <t>A4</t>
  </si>
  <si>
    <t>El objetivo de la Ley 428-06 es crear la Corporacion del Acueducto y Alcantarillado de Boca Chica (CORAABO). Esta Institucion se encarga de administrar y operar el sistema de acueducto y aalcantarillado del municipio de Boca Chica.</t>
  </si>
  <si>
    <t>Toda la poblacion del municipio de Boca Chica y zonas aledañas.</t>
  </si>
  <si>
    <t xml:space="preserve"> Ley núm. 428-06, del 21 de noviembre del 2006, que crea la Corporación de Acueducto y Alcantarillado del Municipio de Boca Chica.Ley Núm. 33-11, del 28 de febrero de 2011, que modifica los artículos 5, 8, 9 y 12 de la Ley Núm. 428-06 del 21 de noviembre de 2006, que creó la Corporación del Acueducto y Alcantarillado del
Municipio de Boca Chica.</t>
  </si>
  <si>
    <t xml:space="preserve"> a) Administrar y operar el sistema de acueducto y alcantarillado urbano y rural del Municipio de Boca Chica,b) Sugerir al Poder Ejecutivo los casos en los cuales procederá a declarar de utilidad pública las propiedades que sean necesarias para la ejecución de sus prograsmas,c) Coordinar y ejecutar actividades con aquellas instituciones públicas y privadas con funciones afines.d) Realizar todas las operaciones necesarias para la consecución de sus fines; asi como contratar empréstitos con el Estado dominicano y con instituciones nacionales e internacionales.e) Garantizar a los pobladores del municipio el suministro de agua potable de calidad, con equidad y en forma racional, asi como, la ampliación oportuna y mantenimiento del sistema de alcantarillado .</t>
  </si>
  <si>
    <t xml:space="preserve">                                                          Incrementada la cobertura y acceso de agua potable en cantidad, calidad y oportunidad priorizando zonas vulnerables y cierres de brechas</t>
  </si>
  <si>
    <t>Índice de Potabilidad de Agua (muestras no contaminadas)</t>
  </si>
  <si>
    <t>INAPA y las demás CORAAS
Ministerio de Medio Ambiente y Recursos Naturales
Ministerio de Salud Pública
Ayuntamientos</t>
  </si>
  <si>
    <t>Ley General de Salud No. 42-01 y Norma Dominicana de Calidad del Agua para Consumo Humanos (NorDOM 53)</t>
  </si>
  <si>
    <t>Division  de Calidad de Agua y  el Departamento de Operaciones</t>
  </si>
  <si>
    <t>¿Se ajusta esta misión a lo establecido en la columna de responsabilidades de la institución  dentro del análisis de marco normativo.</t>
  </si>
  <si>
    <t>¿En qué medida ha cumplido la institución con la misión que se definió?</t>
  </si>
  <si>
    <t>CORAABO ha cumplido en gran medida con su misión de proveer los servicios de agua y alcantarillado sanitario, al lograr incrementar de manera sostenible la cobertura de agua potable y alcantarillado sanitario en todo el Municipio de Boca Chica, garantizando la potabilidad del agua a todos ssus municipes.</t>
  </si>
  <si>
    <t xml:space="preserve">¿Otras instituciones ofrecen los mismos productos?, Y si es así, liste las instituciones y los productos. (consultar documentos publicados por la institución) </t>
  </si>
  <si>
    <t xml:space="preserve">  Sí, pero otras  jurisdicciónes. Como son son:CAASD, CORAASAN, CORAAVEGA, CORAAMOCA, CORAAPLATA, COAAROM e INAPA</t>
  </si>
  <si>
    <t>Acceso desigual a servicios APS</t>
  </si>
  <si>
    <r>
      <rPr>
        <b/>
        <sz val="11"/>
        <color rgb="FF000000"/>
        <rFont val="Calibri"/>
        <family val="2"/>
        <scheme val="minor"/>
      </rPr>
      <t>¿Sobre cuáles aspectos del problema o los problemas identificados en el resultado PNPSP, la institución tiene el mandato legal de intervenir? 
1</t>
    </r>
    <r>
      <rPr>
        <sz val="11"/>
        <color rgb="FF000000"/>
        <rFont val="Calibri"/>
        <family val="2"/>
        <scheme val="minor"/>
      </rPr>
      <t xml:space="preserve">. Proveer servicios de agua potable y alcantarillado sanitario con calidad y alta eficiencia a los residentes del municipio de Boca Chica,
                                                                                                                                                                                                                                      </t>
    </r>
    <r>
      <rPr>
        <b/>
        <sz val="11"/>
        <color rgb="FF000000"/>
        <rFont val="Calibri"/>
        <family val="2"/>
        <scheme val="minor"/>
      </rPr>
      <t>2.</t>
    </r>
    <r>
      <rPr>
        <sz val="11"/>
        <color rgb="FF000000"/>
        <rFont val="Calibri"/>
        <family val="2"/>
        <scheme val="minor"/>
      </rPr>
      <t xml:space="preserve">  La proporción de aguas residuales captadas y tratadas no cumplan con los parámetros de calidad establecidos por el Ministerio de Medio Ambiente , ademas solo captamos el 5% de las aguas residuales producidas en el municipio. </t>
    </r>
  </si>
  <si>
    <t>Baja producción en el servicio de agua potable.</t>
  </si>
  <si>
    <t xml:space="preserve">Poca cobertura en la captacion  de aguas residuales.    </t>
  </si>
  <si>
    <t>Baja calidad en el tratamiento de las aguas residuales.</t>
  </si>
  <si>
    <t>Falta de Infraestructura de almacenamiento, bajo presupuesto para la rehabilitacion de los campos de pozos</t>
  </si>
  <si>
    <t>Deficiencia en el alcantarillado sanitario.</t>
  </si>
  <si>
    <t>El tratamiento que aplicamos es el   preprimario.</t>
  </si>
  <si>
    <t>Mantenimiento deficiente en planta, equipos y redes.</t>
  </si>
  <si>
    <t>Los recursos economicos son insuficientes.</t>
  </si>
  <si>
    <t>Altas perdidas de agua</t>
  </si>
  <si>
    <t>Bajo presupuesto en rehabilitación de redes, escaso personal y falta de equipos para detectar fugas.</t>
  </si>
  <si>
    <t>Altos niveles de Agua No Contabilizada</t>
  </si>
  <si>
    <t>Catastro de Usuarios y Redes Desactualizados</t>
  </si>
  <si>
    <t>Debil Gobernanza</t>
  </si>
  <si>
    <t>Poco control del consumo del usuario del servicio de agua.</t>
  </si>
  <si>
    <t>Complejidad de los procesos internos</t>
  </si>
  <si>
    <t>Falta de personal, equipos y recursos</t>
  </si>
  <si>
    <t>Falta de regulación institucional, Brecha de información de indicadores claves y alta rotación de personal</t>
  </si>
  <si>
    <t>Debil priorización de parte del gobierno, falta de planes y presupuesto.</t>
  </si>
  <si>
    <t>Falta de planes y estrategias y tarifa Desactualizada.</t>
  </si>
  <si>
    <t>Alto porcentaje de conexiones ilegales, baja cultura de ahorro de agua baja y baja cobertura de medición.</t>
  </si>
  <si>
    <t>No se aplica ningun procedimiento de comunicación externa.</t>
  </si>
  <si>
    <t xml:space="preserve">Falta de métodos innovadores, recursos  y software </t>
  </si>
  <si>
    <t>Falta de medidores a los usuarios</t>
  </si>
  <si>
    <t>Desigualdad en el acceso a servicios básicos</t>
  </si>
  <si>
    <t>Interrupciones frecuentes en el suministro de agua.</t>
  </si>
  <si>
    <t>Contaminación de aguas subterranea.</t>
  </si>
  <si>
    <t>Baja calidad en algunas zonas.</t>
  </si>
  <si>
    <t>Insatisfacción y desconfianza de la poblacion.</t>
  </si>
  <si>
    <t xml:space="preserve">Deterioro de la calidad de vida entre comunidades, </t>
  </si>
  <si>
    <t>Soluciones informales o inseguras, rechazo al pago de las tarifas por la calidad deficiente de los servicios</t>
  </si>
  <si>
    <t xml:space="preserve">Impacto en la salud y a la sostenibilidad del recurso agua  </t>
  </si>
  <si>
    <t>Costos adicionales para los usuarios, Incremento de enfermedades relacionadas con agua contaminada</t>
  </si>
  <si>
    <t xml:space="preserve">Aumento de conflictos sociales </t>
  </si>
  <si>
    <t xml:space="preserve">Baja recaudación </t>
  </si>
  <si>
    <t>Baja disponibilidad de agua, sobreexplotación de fuentes de agua por demanda descontrolada.</t>
  </si>
  <si>
    <t>Bajos niveles de facturación, altas pérdidas económicas</t>
  </si>
  <si>
    <t>Gestión operativa y comercial deficiente</t>
  </si>
  <si>
    <t>Aumento en los costos operativos e impacto al medio ambiente</t>
  </si>
  <si>
    <t>Procesos administrativos lentos y burocráticos.</t>
  </si>
  <si>
    <t>Recursos insuficientes para proyectos de expansión</t>
  </si>
  <si>
    <t>Creciente deuda y usuarios morosos.</t>
  </si>
  <si>
    <t>Acceso desigual y pobreza</t>
  </si>
  <si>
    <t>Reducción de recursos para inversión en el sistema</t>
  </si>
  <si>
    <t>Bajos niveles de ejecucion de proyectos</t>
  </si>
  <si>
    <t>Insatisfaccion de los usuarios</t>
  </si>
  <si>
    <t>Alta dependencia del gobierno.</t>
  </si>
  <si>
    <t>Producción unitaria (litros por habitante al día)</t>
  </si>
  <si>
    <t>Produccion unitaria (M3 por habitante al dia)</t>
  </si>
  <si>
    <t>Porcentaje de la población con acceso a agua de la red pública dentro o fuera de la vivienda (2.35 END)</t>
  </si>
  <si>
    <t>Ley No. 1-12 de la Estrategia Nacional de Desarrollo.</t>
  </si>
  <si>
    <t>INAPA y las demás CORAAS
Ministerio de Medio Ambiente y Recursos Naturales
Ministerio de Salud Pública
Empresas de Distribución de Electricidad
Ayuntamientos</t>
  </si>
  <si>
    <t>INAPA y las demás CORAAS
Ministerio de Medio Ambiente y Recursos Naturales.
Ministerio de Salud Pública
Ayuntamientos</t>
  </si>
  <si>
    <t>Ley No. 428-06, que crea a CORAABO y Pacto Dominicano por el Agua 2021-2036.</t>
  </si>
  <si>
    <t>Division de Planificación, Ingeniería y Operaciones</t>
  </si>
  <si>
    <t>Division de Planificación, Ingeniería y Operaciones.</t>
  </si>
  <si>
    <t xml:space="preserve">                                                                   Incrementada la proporción de aguas residuales tratadas.</t>
  </si>
  <si>
    <t>Aguas Residuales Recolectadas/ generadas (%)</t>
  </si>
  <si>
    <t>Tratamiento de Aguas Residuales Recolectadas (%)</t>
  </si>
  <si>
    <t>Porcentaje de viviendas con inodoros conectados al sistema de alcantarillado</t>
  </si>
  <si>
    <t>Tratamiento de Aguas Residuales/ Generadas (%)</t>
  </si>
  <si>
    <t>Departamentos de Operaciones, Ingenieria y Planificación.</t>
  </si>
  <si>
    <t>Departamentos de Operaciones, Ingenieria,  Calidad de Agua y Planificación.</t>
  </si>
  <si>
    <t>Reglamento sobre Control de Descarga de Aguas  Residuales.</t>
  </si>
  <si>
    <t>Porcentaje del monto (RD$) recaudado por concepto de aguas potables y alcantarillados con respecto a lo facturado a nivel nacional</t>
  </si>
  <si>
    <t xml:space="preserve">Division de Planificación y Gerencia Comercial </t>
  </si>
  <si>
    <t>Índice de Agua No Contabilizada (IANC)</t>
  </si>
  <si>
    <t>Division  de Planificación, Ingeniería, Gerencia Comercial y Operaciones</t>
  </si>
  <si>
    <t>Ley No. 1-12 de la Estrategia Nacional de Desarrollo y Ley No. 428-06, que crea a CORAABO</t>
  </si>
  <si>
    <t xml:space="preserve">                                                                           Constitución de la República Dominicana. Proclamada por la Asamblea Nacional
en fecha trece (13) de junio de 2015
Gaceta Oficial No. 10805 del 10 de julio de 2015</t>
  </si>
  <si>
    <t>El articulo 15 de la Constitucion dice: que el agua constituye un patrimonio nacional estrategico de uso publico , inalienable,imprescindible,inembargable y esencial para la vida.</t>
  </si>
  <si>
    <t>En su artículo 15, establece el derecho al acceso a los recursos hídricos y da prioridad al agua para consumo humano sobre cualquier otro uso.                                                                                                                                             
En el artículo 67, establece el derecho todas las personas a un ambiente sano y equilibrado, lo cual incluye la protección de los recursos hídricos, prohibiendo su contaminación y promoviendo su preservación para el bienestar de la sociedad. Esto impacta en el mandato de CORAABO de proveer el servicio deagua potable y alcantarillado  saneamiento.</t>
  </si>
  <si>
    <t xml:space="preserve">                                                                     Toda la población en territorio dominicano, en especial la del Municipio de Boca Chica.</t>
  </si>
  <si>
    <t>Reglamento para la Prestacion y Cobro de los Servicios de  Agua Potable y Alcantarillado Sanitario, Aprobado por el Consejo de Directores el 28 de Mayo del año 2013,</t>
  </si>
  <si>
    <t xml:space="preserve">                                                                                          Regula las relaciones de los clientes con la CORPORACION DEL ACUEDUCTO Y ALCANTARILLADO DE BOCA CHICA. (CORAABO), en los servicios de  agua potable y alcantarillado sanitario que suministra y administra. Establece los derechos de las partes. Por tanto forma parte integral de la relación de servicios de CORAABO con sus
clientes. </t>
  </si>
  <si>
    <t>El capitulo I establece que los servicios de abastecimiento de agua potable  y de recoleccion,transporte,tratamiento y disposicion de las aguas servidas que presta la CORAABO,se regiran por la disposicion de este reglamento. En el capitulo II establece las condiciones del servicio de agua potable. Cap IV establece el Derecho de Incorporacion a las Redes y de Explotacion de las Aguas Subterranea</t>
  </si>
  <si>
    <t xml:space="preserve"> La población del municipio de Boca Chica.                            Todos los clientes y usuarios del servicio.</t>
  </si>
  <si>
    <t>¿Según el marco legal, debe mi institución entregar este producto?</t>
  </si>
  <si>
    <t xml:space="preserve">      Sí , de acuerdo a la ley No. 428-06 destaca lo relativo a proveer agua potable y alcantarillado sanitario.</t>
  </si>
  <si>
    <t>¿Qué hace a su institución diferente? (tecnología, atención a grupos vulnerables, producción sostenible, otros...)</t>
  </si>
  <si>
    <t xml:space="preserve">   1. Avances en la mejora y automatización de los procesos, tal y como se evidencia en el software utilizado en la gestión comercial y administrativa.                                                                                                 2.Implementando una estratagia para la reducción de perdidas de agua y otra para la mejora de la eficiencia energética. </t>
  </si>
  <si>
    <t>¿Cómo los productos de su institución que son similares con los de otras pueden ser complementarios?</t>
  </si>
  <si>
    <t>Tasas de variación</t>
  </si>
  <si>
    <t>Índice de Potabilidad de Agua en el municipio de Boca Chica.</t>
  </si>
  <si>
    <t>Producción unitaria (litros por habitante al día) del municipio de Boca Chica.</t>
  </si>
  <si>
    <t>Producción unitaria (M3 por habitante al dia) del municipio de Boca Chica.</t>
  </si>
  <si>
    <t>Aguas Residuales Recolectadas (%) en el municipio de Boca Chica.</t>
  </si>
  <si>
    <t>Tratamiento de Aguas Residuales Recolectadas (%) en el  municipio de Boca Chica.</t>
  </si>
  <si>
    <t>Tratamiento de Aguas Residuales Generadas (%)en el municipio de Boca Chica.</t>
  </si>
  <si>
    <t>Gestión ineficiente de la institución</t>
  </si>
  <si>
    <t>Porcentaje del monto (RD$) recaudado por concepto de aguas potables y alcantarillados con respecto a lo facturado en lel municipio de Boca Chica.</t>
  </si>
  <si>
    <t>Índice de Agua No Contabilizada (IANC) en el municipio de Boca Chica.</t>
  </si>
  <si>
    <t>Dirección General  de Presupuesto  (DIGEPRES)</t>
  </si>
  <si>
    <t>Ley 423-06 Artículo 5. La Dirección 
General de Presupuesto es el órgano rector del Sistema de Presupuesto y dependerá de Hacienda.</t>
  </si>
  <si>
    <t>Ley 428-06 que crea a CORAABO</t>
  </si>
  <si>
    <t>Dentro de sus funciones se encuentra la aprobación del 
presupuesto de las instituciones</t>
  </si>
  <si>
    <t>Dentro de sus funciones se encuentra la aprobación del presupuesto de las instituciones</t>
  </si>
  <si>
    <t>Dentro de sus funciones se encuentra la construcción y el manteniemiento de infraestructura de agua potable y por tanto de gestionar oportunamente los fondos de los Proyectos de Inversión Publica (SNIP).</t>
  </si>
  <si>
    <t>Nacional</t>
  </si>
  <si>
    <t>Municipio de Boca Chica</t>
  </si>
  <si>
    <t>Responsable.</t>
  </si>
  <si>
    <t>Corresponsable</t>
  </si>
  <si>
    <t>Altas Perdidas de Agua</t>
  </si>
  <si>
    <t>Bajo presupuesto en rehabilitación de redes</t>
  </si>
  <si>
    <t>Escaso Personal para reparación de averias</t>
  </si>
  <si>
    <t>Falta de equipos de detección de fugas invisibles</t>
  </si>
  <si>
    <t xml:space="preserve">Ministerio de  Administración  Pública (MAP) </t>
  </si>
  <si>
    <t>Ley 423-06 Artículo 5. La Dirección 
General de Presupuesto es el órgano rector del Sistema de Presupuesto y dependerá del Ministerio de Hacienda.</t>
  </si>
  <si>
    <t xml:space="preserve">Ley 41-08 sobre función pública. </t>
  </si>
  <si>
    <t>Reglamento Operativo del  28 de mayo del  2013,</t>
  </si>
  <si>
    <t>Como responsable de la rehabilitación y el mantenimiento de infraestructura de agua potable, debe priorizar en los Proyectos de Inversión Publica (SNIP) y en el el presupuesto la Rehabilitacion y Sustitucion de Redes</t>
  </si>
  <si>
    <t xml:space="preserve">Dirigir los  distintos procesos de gestión de  recursos humanos  </t>
  </si>
  <si>
    <t>Es la responsible de la implementación de planes para la reducción de perdidas fisicas.</t>
  </si>
  <si>
    <t>Deficiente en la comunicación externa</t>
  </si>
  <si>
    <t>Bajo nivel de recaudación</t>
  </si>
  <si>
    <t xml:space="preserve">Baja producción y continuidad en el servicio de agua potable                                              </t>
  </si>
  <si>
    <t xml:space="preserve"> Bajo porcentaje de captación y tratamiento de aguas residuales    </t>
  </si>
  <si>
    <t xml:space="preserve">Altas pérdidas físicas  por infraestructura obsoletas                           </t>
  </si>
  <si>
    <t xml:space="preserve">Bajo nivel de macro y micromedición                                                          </t>
  </si>
  <si>
    <t>Baja capacidad de ejecución del presupuesto de capital</t>
  </si>
  <si>
    <t>Programa de capacitación poco focalizados a las areas tecnicas</t>
  </si>
  <si>
    <t>Sistemas de catastro de redes y comercial desactualizados</t>
  </si>
  <si>
    <t>Autonomia para la toma de desiciones.</t>
  </si>
  <si>
    <t>Salario poco competitivo</t>
  </si>
  <si>
    <t>Tecnologia Obsoleta</t>
  </si>
  <si>
    <t>Falta de adecuacion de los espacios fisicos</t>
  </si>
  <si>
    <t>Recursos Financieros insuficiente</t>
  </si>
  <si>
    <t>Alto costo de potabilizacion de agua potable.</t>
  </si>
  <si>
    <t>Estructura organizacional desactualizada.</t>
  </si>
  <si>
    <t xml:space="preserve">Posibilidades de acceso a Financiamiento para proyecto </t>
  </si>
  <si>
    <t>Rápida respuesta a fallas en sistemas de agua</t>
  </si>
  <si>
    <t>Obra de almacenamiento de  agua deficiente</t>
  </si>
  <si>
    <t>Injerencia Politica en toma de desiciones</t>
  </si>
  <si>
    <t xml:space="preserve">Falta de cultura de pago de los usuarios </t>
  </si>
  <si>
    <t>Fenómenos naturales que afectan la disponibilidad (sequias, huracanes)</t>
  </si>
  <si>
    <t xml:space="preserve">Cambio de autoridades y personal genera discontinuidad en los procesos y en los planes, programas y proyectos. </t>
  </si>
  <si>
    <t>Débil marco legal y regulatorio del sector</t>
  </si>
  <si>
    <t xml:space="preserve">Estrés hídrico y contaminación del recurso  en el municipio      </t>
  </si>
  <si>
    <t>Explotacion de las aguas subterraneas.</t>
  </si>
  <si>
    <t xml:space="preserve">  1     Buenas relaciones con las Juntas de Vecinos.</t>
  </si>
  <si>
    <t xml:space="preserve">  2    Condicion de monopolio</t>
  </si>
  <si>
    <t xml:space="preserve">  4   Personal tecnico capacitado y con experiencia</t>
  </si>
  <si>
    <t xml:space="preserve">  3    Colaboracion Interintitucional</t>
  </si>
  <si>
    <t xml:space="preserve">   5  Autonomia para la toma de desiciones.</t>
  </si>
  <si>
    <t xml:space="preserve">   6  Rápida respuesta a fallas en sistemas de agua</t>
  </si>
  <si>
    <t>3  Aumento de las recaudaciones mediante la instalacion de nuevos medidores</t>
  </si>
  <si>
    <t>1        Explotacion de las aguas subterraneas.</t>
  </si>
  <si>
    <t>2        Apoyo ddel gobierno central</t>
  </si>
  <si>
    <t xml:space="preserve">4       Posibilidades de acceso a Financiamiento para proyecto </t>
  </si>
  <si>
    <t>5      Innovación y uso de TIC para apoyar la operación de la institucion y mejorar los servicios.</t>
  </si>
  <si>
    <t>7     Captación de clientes potenciales</t>
  </si>
  <si>
    <t>6     Disponibilidad de diversas fuentes hídricas para su    extracción.</t>
  </si>
  <si>
    <t xml:space="preserve">   7  Trabajo en equipo</t>
  </si>
  <si>
    <t xml:space="preserve">   8  Disponibilidad de aguas subterráneas </t>
  </si>
  <si>
    <t xml:space="preserve">   9  Respuestas rápidas a soluciones de problemas.</t>
  </si>
  <si>
    <t>Tratamiento inadecuado e insuficiente de las aguas residuales</t>
  </si>
  <si>
    <t>Falta de equipos de laboratorio</t>
  </si>
  <si>
    <t xml:space="preserve">Uso de equipos electromecánicos muy vulnerable a daños electicos </t>
  </si>
  <si>
    <r>
      <t>Varias Divisiones en una misma área: (Operaciones/Ingenieria/</t>
    </r>
    <r>
      <rPr>
        <sz val="9"/>
        <color theme="1"/>
        <rFont val="Calibri"/>
        <family val="2"/>
        <scheme val="minor"/>
      </rPr>
      <t xml:space="preserve">Electromecanica y otras. CONTABILIDAD/Financiera/ Cobro de agua de Finca... </t>
    </r>
  </si>
  <si>
    <t xml:space="preserve">8     Posible aprobación de la Ley General del Agua </t>
  </si>
  <si>
    <t>9   Gestionar acuerdos y alianzas institucionales</t>
  </si>
  <si>
    <t xml:space="preserve">Contaminación ambiental y deforestación </t>
  </si>
  <si>
    <t xml:space="preserve">Crecimiento poblacional sin ordenamiento municipal                                                        </t>
  </si>
  <si>
    <t xml:space="preserve">Conexiones ilegales </t>
  </si>
  <si>
    <t>F3</t>
  </si>
  <si>
    <t>F4</t>
  </si>
  <si>
    <t>F5</t>
  </si>
  <si>
    <t>F6</t>
  </si>
  <si>
    <t>F7</t>
  </si>
  <si>
    <t>F8</t>
  </si>
  <si>
    <t>F9</t>
  </si>
  <si>
    <t>F10</t>
  </si>
  <si>
    <t>D3</t>
  </si>
  <si>
    <t>D4</t>
  </si>
  <si>
    <t>D5</t>
  </si>
  <si>
    <t>D6</t>
  </si>
  <si>
    <t>D7</t>
  </si>
  <si>
    <t>D8</t>
  </si>
  <si>
    <t>D9</t>
  </si>
  <si>
    <t>D10</t>
  </si>
  <si>
    <t>D11</t>
  </si>
  <si>
    <t>D12</t>
  </si>
  <si>
    <t>D13</t>
  </si>
  <si>
    <t>D14</t>
  </si>
  <si>
    <t>D15</t>
  </si>
  <si>
    <t>D16</t>
  </si>
  <si>
    <t>D17</t>
  </si>
  <si>
    <t>D18</t>
  </si>
  <si>
    <t>D19</t>
  </si>
  <si>
    <t>D20</t>
  </si>
  <si>
    <t>D21</t>
  </si>
  <si>
    <t xml:space="preserve">   Buenas relaciones con las     Juntas de Vecinos.</t>
  </si>
  <si>
    <t xml:space="preserve">Varias Divisiones en una misma área: (Operaciones/Ingenieria/Electromecanica y otras. CONTABILIDAD/Financiera/ Cobro de agua de Finca... </t>
  </si>
  <si>
    <t>Herramienta 12. Matriz de definición de estrategias /Problema 1: Acceso limitado a los servicios de agua y saneamiento seguros</t>
  </si>
  <si>
    <t>Problema  2: Gestion  Ineficiente de la Institucion.</t>
  </si>
  <si>
    <t>a</t>
  </si>
  <si>
    <t xml:space="preserve"> Apoyo del gobierno central</t>
  </si>
  <si>
    <t>O3</t>
  </si>
  <si>
    <t>O4</t>
  </si>
  <si>
    <t>O5</t>
  </si>
  <si>
    <t>O6</t>
  </si>
  <si>
    <t>O7</t>
  </si>
  <si>
    <t>O8</t>
  </si>
  <si>
    <t>O9</t>
  </si>
  <si>
    <t xml:space="preserve">  Aumento de las recaudaciones mediante la instalacion de nuevos medidores.</t>
  </si>
  <si>
    <t xml:space="preserve"> Innovación y uso de TIC para apoyar la operación de la institucion y mejorar los servicios.</t>
  </si>
  <si>
    <t>Disponibilidad de diversas fuentes hídricas para su    extracción.</t>
  </si>
  <si>
    <t>Captación de clientes potenciales.</t>
  </si>
  <si>
    <t xml:space="preserve"> Posible aprobación de la Ley General del Agua </t>
  </si>
  <si>
    <t xml:space="preserve"> Gestionar acuerdos y alianzas institucionales.</t>
  </si>
  <si>
    <t>A5</t>
  </si>
  <si>
    <t>A6</t>
  </si>
  <si>
    <t>A7</t>
  </si>
  <si>
    <t>A8</t>
  </si>
  <si>
    <t>A9</t>
  </si>
  <si>
    <t>Injerencia Politica en toma de desiciones.</t>
  </si>
  <si>
    <t>Obra de almacenamiento de  agua deficiente.</t>
  </si>
  <si>
    <t>Débil marco legal y regulatorio del sector.</t>
  </si>
  <si>
    <t>Conexiones ilegales .</t>
  </si>
  <si>
    <t xml:space="preserve">Crecimiento poblacional sin ordenamiento municipal.                                                    </t>
  </si>
  <si>
    <t xml:space="preserve">Estrés hídrico y contaminación del recurso  en el municipio.     </t>
  </si>
  <si>
    <t>Personal técnico calificado y comprometido.</t>
  </si>
  <si>
    <t xml:space="preserve">(F1+O7)Usar las relaciones con las junta de vecinos para lograr captar nuevos clientes. </t>
  </si>
  <si>
    <t>(F2+O1)Aprovechar la condicion de monopolio para explotar las aguas subterraneas.</t>
  </si>
  <si>
    <t>FO2</t>
  </si>
  <si>
    <t>FO3</t>
  </si>
  <si>
    <t>Respuestas rápidas a soluciones de problemas.</t>
  </si>
  <si>
    <t>FO4</t>
  </si>
  <si>
    <t xml:space="preserve">  10 Imagen bien valorada de la institucion</t>
  </si>
  <si>
    <t>(F7+O7) Aprochar el trabajo en equipo para lograr la captacion de nuevos clientes.</t>
  </si>
  <si>
    <t>(D2+O3) Aprovechar las intalaciones de nuevos medidoires para aumetar las recaudaciones.</t>
  </si>
  <si>
    <t>DO2</t>
  </si>
  <si>
    <t>DO3</t>
  </si>
  <si>
    <t>(D17+O2) Comprar los equipos de laboratorio con el apoyo del gobierno central.</t>
  </si>
  <si>
    <t>(D20+O2) Lograr recursos financieros suficientes con el apoyo del gobierno central.</t>
  </si>
  <si>
    <t>DO4</t>
  </si>
  <si>
    <t>(D2+O7) Aprovechar la captacion de nuevos clientes para aumentar las recaudaciones.</t>
  </si>
  <si>
    <t>Imagen institucional bien valorada.</t>
  </si>
  <si>
    <t>Trabajo en equipo.</t>
  </si>
  <si>
    <t>Colaboracion Interintitucional.</t>
  </si>
  <si>
    <t>Condicion de monopolio.</t>
  </si>
  <si>
    <t>Disponibilidad de aguas subterráneas.</t>
  </si>
  <si>
    <t>Deficiente en la comunicación externa.</t>
  </si>
  <si>
    <t>Bajo nivel de recaudación.</t>
  </si>
  <si>
    <t xml:space="preserve">Baja producción y continuidad en el servicio de agua potable.                                           </t>
  </si>
  <si>
    <t xml:space="preserve"> Bajo porcentaje de captación y tratamiento de aguas residuales.   </t>
  </si>
  <si>
    <t xml:space="preserve">Altas pérdidas físicas  por infraestructura obsoletas.                           </t>
  </si>
  <si>
    <t xml:space="preserve">Bajo nivel de macro y micromedición.                                                          </t>
  </si>
  <si>
    <t>Falta de cultura de pago de los usuarios .</t>
  </si>
  <si>
    <t>Baja capacidad de ejecución del presupuesto de capital.</t>
  </si>
  <si>
    <t>Sistemas de catastro de redes y comercial desactualizados.</t>
  </si>
  <si>
    <t>Tecnologia Obsoleta.</t>
  </si>
  <si>
    <t>F11</t>
  </si>
  <si>
    <t>DO5</t>
  </si>
  <si>
    <t>(D13+O9)Aplicar la escala salarial actulizada para mejorar los salarios.</t>
  </si>
  <si>
    <t>10  Actualizar la escala salarial.</t>
  </si>
  <si>
    <t>(F4+O9)Utilizar el personal calificado para gestionar acuerdos  y alianzas  institucionales.</t>
  </si>
  <si>
    <t>Fenómenos naturales que afectan el suministro (sequias, huracanes).</t>
  </si>
  <si>
    <t>FA3</t>
  </si>
  <si>
    <t>DA3</t>
  </si>
  <si>
    <r>
      <t xml:space="preserve">1. ¿Dentro del (los) problema/s públicos institucionales identificado/s en la pregunta anterior/ pregunta 4, se visualizan aspectos relacionados con el enfoque de género?                                                                                                                                                                                                                                           </t>
    </r>
    <r>
      <rPr>
        <sz val="11"/>
        <color rgb="FF000000"/>
        <rFont val="Gotham Rounded Bold"/>
      </rPr>
      <t xml:space="preserve">Las mujeres y las niñas se encargan de ir a recoger agua en 7 de cada 10 hogares sin agua corriente, según el primer análisis en profundidad de las desigualdades de género en relación con el acceso a agua potable, saneamiento e higiene (ASH) en los hogares.                                                                                                                                                                       
A escala mundial, es más probable que sean las mujeres las que se encarguen de ir a recoger agua para los hogares, probabilidad que se dobla en el caso de las niñas, que pasan más tiempo que los niños dedicadas a esa tarea cada día, según un nuevo informe publicado hoy por el UNICEF y la OMS. 
se señala también que las mujeres y las niñas tienen más probabilidades de sentirse inseguras al usar un inodoro fuera del hogar y que acusan de forma más intensa los efectos de la falta de higiene.  La falta de instalaciones sanitarias adecuadas en las áreas de trabajo expone a las mujeres  a riesgos de seguridad y salud, lo que a veces ocasiona ausencia laboral y a clases; sin contar con las complicaciones de salud causadas por la falta de higiene en el embarazo y el parto.  
</t>
    </r>
    <r>
      <rPr>
        <b/>
        <sz val="11"/>
        <color rgb="FF000000"/>
        <rFont val="Gotham Rounded Bold"/>
      </rPr>
      <t xml:space="preserve">
</t>
    </r>
    <r>
      <rPr>
        <sz val="11"/>
        <color rgb="FF000000"/>
        <rFont val="Gotham Rounded Bold"/>
      </rPr>
      <t xml:space="preserve">
</t>
    </r>
  </si>
  <si>
    <r>
      <rPr>
        <b/>
        <sz val="11"/>
        <color rgb="FF000000"/>
        <rFont val="Gotham Rounded Bold"/>
      </rPr>
      <t>1. ¿El (los) problema/s públicos institucionales identificado/s presenta/n brechas en territorios específicos del país? Favor indicar cuales serían esas brechas, con datos estadísticos:</t>
    </r>
    <r>
      <rPr>
        <sz val="11"/>
        <color rgb="FF000000"/>
        <rFont val="Gotham Rounded Bold"/>
      </rPr>
      <t xml:space="preserve"> Los servicios de agua potable y saneamiento presentan una gran brecha entre los territorios urbano y rural. Las zonas urbanas han sido prioridad por su necesidad para el desarrollo económico de las ciudades, mientras que la zona rural ha sido delegada. </t>
    </r>
    <r>
      <rPr>
        <b/>
        <sz val="11"/>
        <color rgb="FF000000"/>
        <rFont val="Gotham Rounded Bold"/>
      </rPr>
      <t xml:space="preserve">
2. ¿Cómo se agudiza el problema en función de la característica del territorio?,[indicar la respuesta]</t>
    </r>
    <r>
      <rPr>
        <sz val="11"/>
        <color rgb="FF000000"/>
        <rFont val="Gotham Rounded Bold"/>
      </rPr>
      <t xml:space="preserve"> La situación se agrava porque la densidad poblacional en las zonas rurales en menor y las viviendas se encuentran más distanciadas generalmente, lo que puede resultar en una red de distribución más larga y costosa en relación con la población servida.  Esto sin contar con los inconvenientes de la orografía o altitud de las zonas rurales.  Por otra parte, las poblaciones de las zonas rurales presentan generalmente menor poder de adquisición, por lo que la disposición de pago se estima que es menor.</t>
    </r>
    <r>
      <rPr>
        <b/>
        <sz val="11"/>
        <color rgb="FF000000"/>
        <rFont val="Gotham Rounded Bold"/>
      </rPr>
      <t xml:space="preserve">
3. ¿Dentro de la población potencial, en cuáles provincias/municipios (indicar cantidad)? [indicar la respuesta]
</t>
    </r>
    <r>
      <rPr>
        <sz val="11"/>
        <color rgb="FF000000"/>
        <rFont val="Gotham Rounded Bold"/>
      </rPr>
      <t xml:space="preserve">El municipio de Boca Chica cuenta con un Distrito Municipal y mas de cincuenta sectores y barrios.
</t>
    </r>
  </si>
  <si>
    <r>
      <t>1. ¿Los problemas enunciados, tienen alguna vinculación a escenarios posibles de desastres?</t>
    </r>
    <r>
      <rPr>
        <sz val="11"/>
        <color rgb="FF000000"/>
        <rFont val="Gotham Rounded Bold"/>
      </rPr>
      <t>La cobertura y acceso de agua potable, así como el incremento en las capacidades de gestión de los recursos hídricos dependen directamente de las condiciones físicas y estructurales de los tanques de  almacenamiento de agua, los cuales están expuestos a impactos importantes en escenarios de desastres. Las estructuras de  los tanques de almacenamiento, los sistemas de bombeo, entre otros componentes, son vulnerables a las inundaciones, terremotos, sequías, deslisamientos, entre otros eventos.</t>
    </r>
    <r>
      <rPr>
        <b/>
        <sz val="11"/>
        <color rgb="FF000000"/>
        <rFont val="Gotham Rounded Bold"/>
      </rPr>
      <t xml:space="preserve">
2. ¿Cuánto se agravarían esos problemas frente a un evento catastrófico? [indicar la respuesta]
</t>
    </r>
    <r>
      <rPr>
        <sz val="11"/>
        <color rgb="FF000000"/>
        <rFont val="Gotham Rounded Bold"/>
      </rPr>
      <t>El fallo de las estructuras de las bombas o tanques de almacenamiento por desastres, afecta directamente la disponibilidad de agua y la seguridad hídrica de manera directa. Ante un evento de fuertes lluvias o inundaciones,  la alta turbiedad del agua de las fuentes causada por el arrastre de sólidos en la cuenca de alimentación del acueducto, por lo que deben parar las operaciones y suspender el servicio de distribución de agua; por otra parte en condiciones de tormentas eléctricas, terremotos o deslizamientos, pueden ocurrir daños a los motores eléctricos que impiden las operaciones de bombeo y distribución de las aguas.Por otro lado, el cambio climático se manifiesta a través del agua. Nueve de cada 10 desastres naturales se relacionan con el agua.</t>
    </r>
    <r>
      <rPr>
        <b/>
        <sz val="11"/>
        <color rgb="FF000000"/>
        <rFont val="Gotham Rounded Bold"/>
      </rPr>
      <t xml:space="preserve">
</t>
    </r>
    <r>
      <rPr>
        <sz val="11"/>
        <color rgb="FF000000"/>
        <rFont val="Gotham Rounded Bold"/>
      </rPr>
      <t xml:space="preserve">
</t>
    </r>
  </si>
  <si>
    <t xml:space="preserve">Gestión ineficiente de la institución  </t>
  </si>
  <si>
    <t xml:space="preserve">Uso y consumo deficiente de energia </t>
  </si>
  <si>
    <t>Ineficiente comunicación externa</t>
  </si>
  <si>
    <t xml:space="preserve">Gestión de cobros ineficiente </t>
  </si>
  <si>
    <r>
      <rPr>
        <b/>
        <sz val="12"/>
        <color theme="1"/>
        <rFont val="Calibri"/>
        <family val="2"/>
        <scheme val="minor"/>
      </rPr>
      <t>Gestion ineficiente instituciona</t>
    </r>
    <r>
      <rPr>
        <sz val="12"/>
        <color theme="1"/>
        <rFont val="Calibri"/>
        <family val="2"/>
        <scheme val="minor"/>
      </rPr>
      <t>l</t>
    </r>
  </si>
  <si>
    <t>Gestion Ineficiente institucional</t>
  </si>
  <si>
    <t>Nombre del indicador: Producción unitaria (litros por habitante al día) del municipio de Boca Chica</t>
  </si>
  <si>
    <t>Incrementado el suministro de agua potable en el municipio de Boca Chica.</t>
  </si>
  <si>
    <t>Intermedio</t>
  </si>
  <si>
    <t>Principal</t>
  </si>
  <si>
    <t>Este indicador mide la producción unitaria (litros por habitante al día) del municipio de Boca Chica.</t>
  </si>
  <si>
    <t>litros por habitante al día</t>
  </si>
  <si>
    <t>Total de Litros de agua producida por día</t>
  </si>
  <si>
    <t>Total de habitantes del municipio.</t>
  </si>
  <si>
    <t>(Total de Litros de agua producida por día)/ Población del municipio de Boca Chica.</t>
  </si>
  <si>
    <t>Se divide el Total de Litros de agua producida por día entre la población del municipio.</t>
  </si>
  <si>
    <t>Se espera una evolución ascendente del indicador.  Un mayor valor  del indicador representa una mayor cantidad de agua potable producida disponible para la población</t>
  </si>
  <si>
    <t>Este indicador depende de la reducción de las pérdidas en las plantas potabilizadoras y/o de la construcción de nuevas plantas de tratamiento de agua potable.</t>
  </si>
  <si>
    <t>Puede desagregarse por municipio</t>
  </si>
  <si>
    <t>Puede desagregarse por Sectores.</t>
  </si>
  <si>
    <t>El indicador se medirá anualmente</t>
  </si>
  <si>
    <t>Datos proporcionados por el Departamento de Ingeniería de la institución</t>
  </si>
  <si>
    <t>Censo poblacional</t>
  </si>
  <si>
    <t>La fuente del numerador es primaria                                                                     La fuente del denomidador es secundaria</t>
  </si>
  <si>
    <t>Un porcentaje alto significa una mayor cantidad de agua potable producida disponible para la población.</t>
  </si>
  <si>
    <t>El volumen de agua producido y consumido por persona tiene un valor óptimo según los estándares internacionales.  Un valor demasiado alto puede seignificar desperdicio por parte de la población o pérdidas en las líneas de distribución.</t>
  </si>
  <si>
    <t xml:space="preserve">Nombre del indicador: </t>
  </si>
  <si>
    <t>Nombre del indicador: Índice de Potabilidad de Agua del municipio de Boca Chica.</t>
  </si>
  <si>
    <t>Aumentado el acceso a agua potable y sanemiento gestionado de forma segura en elmunicipio de Boca Chica.</t>
  </si>
  <si>
    <t>estrategico</t>
  </si>
  <si>
    <t>Este indicador mide el porcentaje de muestras negativas a coliformes sobre el total de las muestras analizadas .</t>
  </si>
  <si>
    <t>Número de muestras de aguas con resultados negativos a presencia de coliformes</t>
  </si>
  <si>
    <t>Porcentaje.</t>
  </si>
  <si>
    <t>Total de muestras analizadas</t>
  </si>
  <si>
    <t>(Número de muestras de aguas con resultados negativos a presencia de coliformes totales)/ Total de muestras analizadas * 100</t>
  </si>
  <si>
    <t>Se divide el número de muestras de aguas con resultados negativos a presencia de coliformes entre el total de muestras analizadas  y se multiplica por cien.</t>
  </si>
  <si>
    <t>Este indicador depende de la construcción de nuevas redes de agua potable y de un aumento en la capacidad de producción y tratamiento de agua potable</t>
  </si>
  <si>
    <t>Puede desagregarse por tanque de almacenamiento.</t>
  </si>
  <si>
    <t>El indicador se medirá diario en cada tanque y se tomarán valores promedios diarios y mensuales.</t>
  </si>
  <si>
    <t>Laboratorio de agua potable</t>
  </si>
  <si>
    <t>Ambos valores son de fuente primaria</t>
  </si>
  <si>
    <t>Un mayor índice de potablilidad representa mayor seguridad en el consumo de agua potable</t>
  </si>
  <si>
    <t>Se debe señalar que se requiere de inventario de reactivos de laboratorio y personal capacitado para muestreo y análisis.</t>
  </si>
  <si>
    <t>Porcentaje</t>
  </si>
  <si>
    <t>Volumen de aguas residuales generadas (m3)</t>
  </si>
  <si>
    <t>Volumen de aguas potables suministradas (m3)</t>
  </si>
  <si>
    <t>(Volumen de aguas residuales generadas (m3))/ Volumen de aguas potables suministradas (m3) * 100</t>
  </si>
  <si>
    <t xml:space="preserve">Se divide el volumen de aguas residuales generadas entre el volumen de agua potable suministrada y se multiplica por cien </t>
  </si>
  <si>
    <t>Se espera una evolución ascendente del indicador.  Un mayor valor  del indicador representa una mayor cantidad de aguas residuales generadas y medidas</t>
  </si>
  <si>
    <t>Este indicador depende de la construcción de nuevas redes de aguas residuales y de un aumento en la capacidad de producción y tratamiento de aguas residuales</t>
  </si>
  <si>
    <t>El indicador se medirá diaria y mensualmente</t>
  </si>
  <si>
    <t>Datos proporcionados por el Departamento de Opercaciones</t>
  </si>
  <si>
    <t>Datos proporcionados por el Departamento de Operaciones</t>
  </si>
  <si>
    <t>Un porcentaje alto significa una mayor cantidad de aguas residuales generadas y medidas</t>
  </si>
  <si>
    <t>La recolección de aguas residuales no significanecesariamente el tratamiento adecuado de las mismas</t>
  </si>
  <si>
    <t>Incrementada la cobertura de alcantarillado sanitario del municipio de Boca Chica.</t>
  </si>
  <si>
    <t>Este indicador mide el porcentaje de aguas residuales generadas entre las aguas potables sumininstradas  del municipio de Boca Chica.</t>
  </si>
  <si>
    <t>La recolección de aguas residuales no significa necesariamente el tratamiento adecuado de las mismas</t>
  </si>
  <si>
    <t>Volumen de aguas residuales recolectadas (m3)</t>
  </si>
  <si>
    <t>(Volumen de aguas residuales recolectadas (m3))/ Volumen de aguas residuales generadas (m3) * 100</t>
  </si>
  <si>
    <t xml:space="preserve">Se divide el volumen de aguas residuales recolectadas entre el volumen de aguas residuales generadas y se multiplica por cien </t>
  </si>
  <si>
    <t>Se espera una evolución ascendente del indicador.  Un mayor valor  del indicador representa una mayor cantidad de aguas residuales recolectadas y por ende una menor contaminación y riesgos a la salud</t>
  </si>
  <si>
    <t>Un porcentaje alto significa una mayor cantidad de aguas residuales recolectadas y por ende una menor contaminación y riesgos a la salud</t>
  </si>
  <si>
    <t>Incrementada la cobertura de alcantarillado sanitario  del municipio de Boca Chica.</t>
  </si>
  <si>
    <t>Este indicador mide el porcentaje de aguas residuales recolectadas entre las aguas residuales generadas enel municipio de Boca Chica.</t>
  </si>
  <si>
    <t>Herramienta 13. Ficha del indicador No. 1</t>
  </si>
  <si>
    <t>Herramienta 13.  Ficha de indicador No.2</t>
  </si>
  <si>
    <t>Herramienta 13. Ficha del indicador No.3</t>
  </si>
  <si>
    <t>Herramienta 13. Ficha del indicador No.4</t>
  </si>
  <si>
    <t>Herramienta 13. Ficha del indicador No.5</t>
  </si>
  <si>
    <t>Nombre del indicador: Aguas Residuales Generadas (%) del municipio de Boca Chica</t>
  </si>
  <si>
    <t>Nombre del indicador:  Aguas Residuales Recolectadas (%)del municipio de Boca Chica</t>
  </si>
  <si>
    <t>Nombre del indicador: :Tratamiento de Aguas Residuales Recolectadas (%)  del municipio de Boca Chica</t>
  </si>
  <si>
    <t xml:space="preserve">Aumentada la proporción de tratamiento de aguas residuales </t>
  </si>
  <si>
    <t>Volumen de aguas residuales tratadas (m3)</t>
  </si>
  <si>
    <t xml:space="preserve">Se divide el volumen de aguas residuales tratadas entre el volumen de aguas residuales recolectadas y se multiplica por cien </t>
  </si>
  <si>
    <t>Se espera una evolución ascendente del indicador.  Un mayor valor  del indicador representa una mayor cantidad de aguas residuales tratadas y por ende una menor contaminación y riesgos a la salud</t>
  </si>
  <si>
    <t>Este indicador depende de la construcción de nuevas redes de colección y plantas de tratamiento de aguas residuales y de una adecuada operación de las plantas</t>
  </si>
  <si>
    <t xml:space="preserve"> Un mayor valor  del indicador representa una mayor cantidad de aguas residuales tratadas y por ende una menor contaminación y riesgos a la salud</t>
  </si>
  <si>
    <t>Este indicador mide el porcentaje de aguas residuales tratadas entre las aguas residuales recolectadas en el municipio de Boca Chica</t>
  </si>
  <si>
    <t>Herramienta 13. Ficha del indicador No.6</t>
  </si>
  <si>
    <t>Nombre del indicador:Índice de Agua No Contabilizada (IANC) del  municipio de Boca Chica</t>
  </si>
  <si>
    <t>El indicador se medirá mensualmente</t>
  </si>
  <si>
    <t>Herramienta 13. Ficha del indicador No.7</t>
  </si>
  <si>
    <t>Estratégico</t>
  </si>
  <si>
    <t>Este indicador mide el monto de dinero recaudado por cobros con respecto al monto facturado en la institución</t>
  </si>
  <si>
    <t>Monto (RD$) recaudado en el mes</t>
  </si>
  <si>
    <t>Monto (RD$) facturado en el mes</t>
  </si>
  <si>
    <t>(Monto (RD$) recaudado en el mes)/ Monto (RD$) facturado en el mes * 100</t>
  </si>
  <si>
    <t>Se divide el Monto (RD$) recaudado en el mes entre el Monto (RD$) facturado en el mes y se multiplica por cien</t>
  </si>
  <si>
    <t>Se espera una evolución ascendente del indicador.  Un mayor valor  del indicador representa una mayor cobranza</t>
  </si>
  <si>
    <t>Este indicador depende de la construcción de nuevos tanques de almacenamiento de agua para disribución</t>
  </si>
  <si>
    <t>Un porcentaje alto significa  Un mayor valor  del indicador representa una mayor cobranza y una mejor estabilidad financiera de la institución</t>
  </si>
  <si>
    <t>Un mayor valor  del indicador no representa necesariamente que la operación es sostenible financieramente</t>
  </si>
  <si>
    <t>Puede desagregarse por Por sectores</t>
  </si>
  <si>
    <t>Datos proporcionados por la Gerencia  Comercial de la institución</t>
  </si>
  <si>
    <t xml:space="preserve">Nombre del indicador: :Porcentaje del monto (RD$) recaudado con respecto a lo facturado </t>
  </si>
  <si>
    <t>Herramienta 13. Ficha del indicador No.8</t>
  </si>
  <si>
    <t>(F9+A9) Aprovechar  la rapida soluciones aa problema ,para detectar conexiones ilegales.</t>
  </si>
  <si>
    <t>(F3+A7) Colaborar con otras instituciones para la reforestacion de las cuencas de los rios para evitar la deforestacion y  contaminacion del ambiente.,</t>
  </si>
  <si>
    <t>FA4</t>
  </si>
  <si>
    <t>(F5+A2) Aprovechar nuestra autonomia para tomar decisiones para evitar la injerencia politica.</t>
  </si>
  <si>
    <t>(F8+A6)Utilizar nuestra disponibilidad de agua subterranea para evitar el estresy la contaminacion del recurso en el municipio.</t>
  </si>
  <si>
    <t>DA4</t>
  </si>
  <si>
    <t>(D8+A9)La debil regulacion legal que existe en el sector APS, permite las conexiones ilegales sin ninguna consecuencia.</t>
  </si>
  <si>
    <t>(D4+A7)El bajo porcentaje de captacion y tratamiento de las aguas residuales ,producen un foco de contaminacion y deforestacion por dañar la capa vegetal.</t>
  </si>
  <si>
    <t>(D20+A1) Debido a insuficiente recursos financieros,adolecemos de suficiente obra de almacenamiento de agua.</t>
  </si>
  <si>
    <t>(D3+A3)La baja produccion y continuidad  en el servicio de agua puede ser ocasionada por algun fenomeno natural (huracan,inundacion.etc.)</t>
  </si>
  <si>
    <t>No.</t>
  </si>
  <si>
    <t>Datos de producción agua potable de CORAABO</t>
  </si>
  <si>
    <t>Informe trimestral tecnico</t>
  </si>
  <si>
    <t>Incrementada la proporcion de agua residual recoleda.</t>
  </si>
  <si>
    <t>Incrementada la proporcion de agua residual tratada.</t>
  </si>
  <si>
    <t>Incrementada la proporcion de agua residual generada.</t>
  </si>
  <si>
    <t>(F8+A6)Utilizar nuestra disponibilidad de agua subterranea para evitar el estrés y la contaminacion del recurso en el municipio.</t>
  </si>
  <si>
    <t>Eficientizada la gestión de las empresas APS</t>
  </si>
  <si>
    <t>Ser un organismo eficaz,eficiente,confiable y ciudadano a nivel nacional.</t>
  </si>
  <si>
    <t>Código del Producto</t>
  </si>
  <si>
    <t>Area Responsable</t>
  </si>
  <si>
    <t>Residentes de los sectores bajo la jurisdicción de CORAABO con Producción de Agua Potable a través de la Red Pública</t>
  </si>
  <si>
    <t>M3</t>
  </si>
  <si>
    <t>Departamento de Operaciones</t>
  </si>
  <si>
    <t>Residentes de los sectores bajo la jurisdicción de CORAABO con Distribución de Agua Potable a través de la Red Pública</t>
  </si>
  <si>
    <t>Residentes de los sectores bajo la jurisdicción de CORAABO con Servicio de Recolección de Agua Residual a través de la Red de Alcantarillado</t>
  </si>
  <si>
    <t>Residentes de los sectores bajo la jurisdicción de CORAABO que reciben Atención a las Solicitudes de Servicios Comerciales, Reclamos y Denuncias</t>
  </si>
  <si>
    <t xml:space="preserve">UNIDAD  </t>
  </si>
  <si>
    <t>División de Revisión y Análisis</t>
  </si>
  <si>
    <t>Queremos convertirnos en un ente de referencia para las demas CORAAS.</t>
  </si>
  <si>
    <t>Esta institucion trabaja 24/7 para brindar un servicio de calidad , eficiente y cantidad para todos los habitantes y visitantes del municipio de Boca Chica y Zonas Aledañas</t>
  </si>
  <si>
    <t>La CORAABO se diferencia de las demas,por ser la unica CORAA que existe en un Municipio y que ademas la fuente de abastecimiento de sus Acueductos es 100% de agua subterranea extraida a traves de equipos electromecanicos.</t>
  </si>
  <si>
    <t xml:space="preserve"> Sí, la misión se ajusta a las responsabilidades establecidas en el análisis de marco normativo.</t>
  </si>
  <si>
    <t xml:space="preserve">     En lorelativo en relacion  al sector (APS),Agua Potable y Saneamiento  los productos  agua potable, recolección y tratamiento de de aguas residuales se complementan.</t>
  </si>
  <si>
    <t>CORPORACION DEL ACUEDUCTO Y ALCANTARILLADO DE BOCA CHICA (CORAABO)</t>
  </si>
  <si>
    <r>
      <t>1. ¿De cara al problema y la población objetivo (personas, instituciones, ambiente) la institución puede identificar aspectos claves que deben abordarse para avanzar en la sostenibilidad ambiental en el país? [indicar la respuesta]</t>
    </r>
    <r>
      <rPr>
        <sz val="11"/>
        <color rgb="FF000000"/>
        <rFont val="Gotham Rounded Bold"/>
      </rPr>
      <t xml:space="preserve"> Las aguas residuales no tratadas impactan directamente la sostenibilidad ambiental del recurso agua.  Entre los impactos de la descarga de aguas no tratadas se encuentran: desarrollo de microorganismos patógenos que causan enfermedades; la pérdida de servicios ecosistémicos en las riberas de los ríos y en la costa, que ocasionan control de la erosión y medios de vida para cría de peces; contaminación de las aguas superficiales y subterráneas.          </t>
    </r>
    <r>
      <rPr>
        <b/>
        <sz val="11"/>
        <color rgb="FF000000"/>
        <rFont val="Gotham Rounded Bold"/>
      </rPr>
      <t xml:space="preserve">
</t>
    </r>
    <r>
      <rPr>
        <sz val="11"/>
        <color rgb="FF000000"/>
        <rFont val="Gotham Rounded Bold"/>
      </rPr>
      <t xml:space="preserve">Otro problema es el uso de los pozos sépticos, en lugares como en Jarabacoa, donde no existen redes de alcantarillado sanitario. Esto provoca que los residuos y contaminantes pueden filtrarse en el suelo y llegar a las fuentes de agua subterránea, lo cual genera un problema por la gran cantidad de viviendas que usan las aguas subterráneas como fuente principal de abastecimiento de agua.
En las empresas de agua y saneamiento, menos de 1 de cada 5 trabajadores son mujeres, y en el sector del agua, menos de 1 de cada 4 ingenieros o gerentes son mujeres. Aumentar la participación de las mujeres en todos los niveles beneficia a las mujeres, la comunidad y las organizaciones.  </t>
    </r>
    <r>
      <rPr>
        <b/>
        <sz val="11"/>
        <color rgb="FF000000"/>
        <rFont val="Gotham Rounded Bold"/>
      </rPr>
      <t xml:space="preserve">      
</t>
    </r>
  </si>
  <si>
    <t>1. ¿Los problemas enunciados, tienen alguna vinculación a escenarios posibles de desastres?                                                                                                        La cobertura y acceso de agua potable, así como el incremento en las capacidades de gestión de los recursos hídricos dependen directamente de las condiciones físicas y estructurales de las plantas de tratamiento y almacenamiento de agua, los cuales están expuestos a impactos importantes en escenarios de desastres. Las estructuras de las plantas de tratamiento, los tanques de almacenamiento, los sistemas de bombeo, entre otros componentes, son vulnerables a las inundaciones, terremotos, sequías, deslisamientos, entre otros eventos.2. ¿Cuánto se agravarían esos problemas frente a un evento catastrófico? [indicar la respuesta]                                                                                        l fallo de las estructuras de las plantas potabilizadoras, bombas o tanques de almacenamiento por desastres, afecta directamente la disponibilidad de agua y la seguridad hídrica de manera directa. Ante un evento de fuertes lluvias o inundaciones, las plantas potabilizadoras no pueden manejar la alta turbiedad del agua de las fuentes causada por el arrastre de sólidos en la cuenca de alimentación del acueducto, por lo que deben parar las operaciones y suspender el servicio de distribución de agua; por otra parte en condiciones de tormentas eléctricas, terremotos o deslizamientos, pueden ocurrir daños a los motores eléctricos que impiden las operaciones de bombeo y distribución de las aguas.
Por otro lado, el cambio climático se manifiesta a través del agua. Nueve de cada 10 desastres naturales se relacionan con el agua. Los riesgos climáticos vinculados con el agua se propagan a través de los sistemas alimentarios, energéticos, urbanos y ambientales. Si se quieren lograr los objetivos relacionados con el clima y el desarrollo, el agua debe estar en el centro de las estrategias de adaptación.</t>
  </si>
  <si>
    <r>
      <t xml:space="preserve">¿Cuáles son los problemas públicos (institucionales) que se pueden identificar a partir de los aspectos  definidos en la pregunta anterior?
1.  </t>
    </r>
    <r>
      <rPr>
        <sz val="11"/>
        <color rgb="FF000000"/>
        <rFont val="Calibri"/>
        <family val="2"/>
        <scheme val="minor"/>
      </rPr>
      <t xml:space="preserve">Baja producción de agua potable                   </t>
    </r>
    <r>
      <rPr>
        <b/>
        <sz val="11"/>
        <color rgb="FF000000"/>
        <rFont val="Calibri"/>
        <family val="2"/>
        <scheme val="minor"/>
      </rPr>
      <t xml:space="preserve">                                                                                                                                                                                      2. </t>
    </r>
    <r>
      <rPr>
        <sz val="11"/>
        <color rgb="FF000000"/>
        <rFont val="Calibri"/>
        <family val="2"/>
        <scheme val="minor"/>
      </rPr>
      <t xml:space="preserve">Altas pérdidas  fisicas en sistemas y redes  </t>
    </r>
    <r>
      <rPr>
        <b/>
        <sz val="11"/>
        <color rgb="FF000000"/>
        <rFont val="Calibri"/>
        <family val="2"/>
        <scheme val="minor"/>
      </rPr>
      <t xml:space="preserve">                                                                                                                                                                                                    3. </t>
    </r>
    <r>
      <rPr>
        <sz val="11"/>
        <color rgb="FF000000"/>
        <rFont val="Calibri"/>
        <family val="2"/>
        <scheme val="minor"/>
      </rPr>
      <t>Baja continuidad y presion del servicio</t>
    </r>
    <r>
      <rPr>
        <b/>
        <sz val="11"/>
        <color rgb="FF000000"/>
        <rFont val="Calibri"/>
        <family val="2"/>
        <scheme val="minor"/>
      </rPr>
      <t xml:space="preserve">                                                                                                                                                                                                                                             4. </t>
    </r>
    <r>
      <rPr>
        <sz val="11"/>
        <color rgb="FF000000"/>
        <rFont val="Calibri"/>
        <family val="2"/>
        <scheme val="minor"/>
      </rPr>
      <t xml:space="preserve">Alto consumo de agua por habitante  </t>
    </r>
    <r>
      <rPr>
        <b/>
        <sz val="11"/>
        <color rgb="FF000000"/>
        <rFont val="Calibri"/>
        <family val="2"/>
        <scheme val="minor"/>
      </rPr>
      <t xml:space="preserve">                                                                                                                                                                                5.</t>
    </r>
    <r>
      <rPr>
        <sz val="11"/>
        <color rgb="FF000000"/>
        <rFont val="Calibri"/>
        <family val="2"/>
        <scheme val="minor"/>
      </rPr>
      <t xml:space="preserve"> Bajo porcentaje  de aguas residuales  captadas     </t>
    </r>
    <r>
      <rPr>
        <b/>
        <sz val="11"/>
        <color rgb="FF000000"/>
        <rFont val="Calibri"/>
        <family val="2"/>
        <scheme val="minor"/>
      </rPr>
      <t xml:space="preserve">                                                                                                                                                                                                6. </t>
    </r>
    <r>
      <rPr>
        <sz val="11"/>
        <color rgb="FF000000"/>
        <rFont val="Calibri"/>
        <family val="2"/>
        <scheme val="minor"/>
      </rPr>
      <t xml:space="preserve">Bajo porcentaje de aguas residuales tratadas.   </t>
    </r>
    <r>
      <rPr>
        <b/>
        <sz val="11"/>
        <color rgb="FF000000"/>
        <rFont val="Calibri"/>
        <family val="2"/>
        <scheme val="minor"/>
      </rPr>
      <t xml:space="preserve">                                                                                                                                                                                                                                                                                                                                                                                                                                                            
7.</t>
    </r>
    <r>
      <rPr>
        <sz val="11"/>
        <color rgb="FF000000"/>
        <rFont val="Calibri"/>
        <family val="2"/>
        <scheme val="minor"/>
      </rPr>
      <t xml:space="preserve"> Bajo monto de recaudación   </t>
    </r>
    <r>
      <rPr>
        <b/>
        <sz val="11"/>
        <color rgb="FF000000"/>
        <rFont val="Calibri"/>
        <family val="2"/>
        <scheme val="minor"/>
      </rPr>
      <t xml:space="preserve">                                                                                                                                                                                                                     8.</t>
    </r>
    <r>
      <rPr>
        <sz val="11"/>
        <color rgb="FF000000"/>
        <rFont val="Calibri"/>
        <family val="2"/>
        <scheme val="minor"/>
      </rPr>
      <t xml:space="preserve"> Sistema de catastro de usuarios desactualizado    </t>
    </r>
    <r>
      <rPr>
        <b/>
        <sz val="11"/>
        <color rgb="FF000000"/>
        <rFont val="Calibri"/>
        <family val="2"/>
        <scheme val="minor"/>
      </rPr>
      <t xml:space="preserve">                                                                                                                                                                                              9. </t>
    </r>
    <r>
      <rPr>
        <sz val="11"/>
        <color rgb="FF000000"/>
        <rFont val="Calibri"/>
        <family val="2"/>
        <scheme val="minor"/>
      </rPr>
      <t xml:space="preserve">Ausencia de catastro de redes            </t>
    </r>
    <r>
      <rPr>
        <b/>
        <sz val="11"/>
        <color rgb="FF000000"/>
        <rFont val="Calibri"/>
        <family val="2"/>
        <scheme val="minor"/>
      </rPr>
      <t xml:space="preserve">                                                                                                                                                                                10. </t>
    </r>
    <r>
      <rPr>
        <sz val="11"/>
        <color rgb="FF000000"/>
        <rFont val="Calibri"/>
        <family val="2"/>
        <scheme val="minor"/>
      </rPr>
      <t xml:space="preserve">Suministro deficiente de energia      </t>
    </r>
    <r>
      <rPr>
        <b/>
        <sz val="11"/>
        <color rgb="FF000000"/>
        <rFont val="Calibri"/>
        <family val="2"/>
        <scheme val="minor"/>
      </rPr>
      <t xml:space="preserve">                                                                                                                                                                                                                                                                                                                                                                                    11. </t>
    </r>
    <r>
      <rPr>
        <sz val="11"/>
        <color rgb="FF000000"/>
        <rFont val="Calibri"/>
        <family val="2"/>
        <scheme val="minor"/>
      </rPr>
      <t xml:space="preserve">Complejidad de los procesos internos          </t>
    </r>
    <r>
      <rPr>
        <b/>
        <sz val="11"/>
        <color rgb="FF000000"/>
        <rFont val="Calibri"/>
        <family val="2"/>
        <scheme val="minor"/>
      </rPr>
      <t xml:space="preserve">                                                                                                                                                                                                                                                                                                                                              12. </t>
    </r>
    <r>
      <rPr>
        <sz val="11"/>
        <color rgb="FF000000"/>
        <rFont val="Calibri"/>
        <family val="2"/>
        <scheme val="minor"/>
      </rPr>
      <t xml:space="preserve">Falta de indicadores de desempeño claves    </t>
    </r>
    <r>
      <rPr>
        <b/>
        <sz val="11"/>
        <color rgb="FF000000"/>
        <rFont val="Calibri"/>
        <family val="2"/>
        <scheme val="minor"/>
      </rPr>
      <t xml:space="preserve">                                                                                                                                                             13.</t>
    </r>
    <r>
      <rPr>
        <sz val="11"/>
        <color rgb="FF000000"/>
        <rFont val="Calibri"/>
        <family val="2"/>
        <scheme val="minor"/>
      </rPr>
      <t xml:space="preserve">Altos niveles de agua no contabilizada (inluye perdidas comerciales)   </t>
    </r>
    <r>
      <rPr>
        <b/>
        <sz val="11"/>
        <color rgb="FF000000"/>
        <rFont val="Calibri"/>
        <family val="2"/>
        <scheme val="minor"/>
      </rPr>
      <t xml:space="preserve">
</t>
    </r>
    <r>
      <rPr>
        <sz val="11"/>
        <color rgb="FF000000"/>
        <rFont val="Calibri"/>
        <family val="2"/>
        <scheme val="minor"/>
      </rPr>
      <t xml:space="preserve">
</t>
    </r>
    <r>
      <rPr>
        <b/>
        <sz val="11"/>
        <color rgb="FF000000"/>
        <rFont val="Calibri"/>
        <family val="2"/>
        <scheme val="minor"/>
      </rPr>
      <t xml:space="preserve">
</t>
    </r>
  </si>
  <si>
    <t xml:space="preserve">1. Incrementada la cobertura y acceso de agua potable en cantidad, calidad y oportunidad priorizando zonas vulnerables y cierres de brechas.                                                                                                                             </t>
  </si>
  <si>
    <t>Limitada capacidad de gestion de los servicios de agua potable y saneamiento (APS).</t>
  </si>
  <si>
    <t xml:space="preserve">
CENSO Nacional de Poblacion y Vivienda 2022                            
Informe de Diagnóstico del Catastro de Redes y de Usuarios 2024.
Informe Diagnóstico de la Gestión Comercial 2024
Informes Trimestrales de Operación y Comercial. Año 2024</t>
  </si>
  <si>
    <t>Limitado presupuesto para la rehabilitacion de los sistema de potabilizacion de los  acueductos.</t>
  </si>
  <si>
    <t>CORAABO(Departamentos de  Operciones e Ingeniería)</t>
  </si>
  <si>
    <t>Falta de recursos para la construccion de nuevas infraestructuras para almacenamiento</t>
  </si>
  <si>
    <t>Ministerio de Economia y Planificacion y Desarrollo (MEPyD).</t>
  </si>
  <si>
    <t xml:space="preserve">Ley 496-06 que crea el Ministerio de Economia, Planificaciòn y Desarrollo (MEPyD) </t>
  </si>
  <si>
    <t>Otorgar la no objecion a los proyectos de inversion publica,independiente de su fuente de financiamiento.</t>
  </si>
  <si>
    <t>CORAABO (Departamento de Ingenieria)</t>
  </si>
  <si>
    <t>CORAABO (Departamento Administrativo y Financiero y Gestion Comercial)</t>
  </si>
  <si>
    <t>Estructura Programatica</t>
  </si>
  <si>
    <t>Residentes de los sectores bajo la jurisdicción de CORAABO con producción de agua potable a través de la red pública (7661)</t>
  </si>
  <si>
    <t>Rehabilitacion de los Sistema de cloracion de los acueductos, Brujuelas-Casui,Catalina y la Joyita</t>
  </si>
  <si>
    <t>Rehabilitacion de seis (6) pozos  del campo de Pozos Brujuelas Casui</t>
  </si>
  <si>
    <t xml:space="preserve">Residentes de los sectores bajo la jurisdicción de CORAABO con servicio de recoleccion de agua residual a traves de la red de alcantarillado (7666). </t>
  </si>
  <si>
    <t>Ampliacion del Acueducto Andres Norte (construcion del deposito de almacenamiento y redes).</t>
  </si>
  <si>
    <t>Rehabilitacion de depositos de almacenamiento y regulacion de los sistema de acueducto BrujuelasCasui y la Joyita.</t>
  </si>
  <si>
    <t>Construccion de deposito de almacenamiento y regulacion del campo de pozo la Catalina</t>
  </si>
  <si>
    <t>Residentes de los sectores bajo la jurisdicción de CORAABO con distribucion de agua potable a través de la red pública (7665)</t>
  </si>
  <si>
    <t>Construccion de redes de distribucion en el sector la Altagracia</t>
  </si>
  <si>
    <t>Ampliacionde Macrored del Distrito Municipal la Caleta</t>
  </si>
  <si>
    <t>2da. Etapa de Ampliacion de  redes de agua potable en el sector los Unidos ,la Caleta</t>
  </si>
  <si>
    <t>Ampliacion de redes de agua potable en el sector Paraiso 2do. La Caleta.</t>
  </si>
  <si>
    <t>Ampliacion de redes de agua potable en el barrio Progreso Dominicano, la Caleta.</t>
  </si>
  <si>
    <t>Ampliacion de redes de Agua Potable en el sector Vista alegre  2do. L a Caleta</t>
  </si>
  <si>
    <t>Ampliacion de redes de agua potable en el sector altos de Chavon,Boca Chica.</t>
  </si>
  <si>
    <t xml:space="preserve">Ampliacion de redes de agua potable en el sector Mirador Aereo </t>
  </si>
  <si>
    <t>Ampliacion de redes de aguapotable en el sector Brisas Caucedo Sur.</t>
  </si>
  <si>
    <t>Ampliacion de redes  de agua potable en la calle Mella ,esquina Juna frances ,valiente ,la Caleta.</t>
  </si>
  <si>
    <t>Ampliacion de redes de agua potable en la calle posterior del deposito del hiper Ole,en el Valiente ,la Caleta.</t>
  </si>
  <si>
    <t>Ampliacion de redes de agua potable  2da. Etapa en el sector Altos de Chavon,proximo a la escuela Colombina Castro.</t>
  </si>
  <si>
    <t>Saneamiento de la Cañada  de el Tunel de Andres</t>
  </si>
  <si>
    <t>Construccion de verja perimetral y caseta para motor de eje hueco en 05 pozos el campo de pozos  de BrujuelaCasui, ( No. 05,06,07,08 y 09)</t>
  </si>
  <si>
    <t>Construccion de verja perimetral en 12   pozos  de BrujuelaCasui, desde el No. 10 hasta el 21.</t>
  </si>
  <si>
    <t>UD</t>
  </si>
  <si>
    <t>POZO</t>
  </si>
  <si>
    <t>Construccion de almacen para insumo electromecanicos de los campos de pozos Brujuelas Casui,La Catalinna y la Joyita.</t>
  </si>
  <si>
    <t>km</t>
  </si>
  <si>
    <t>Instalacion de 40 km de linea de Impulsion en el municipio de Boca Chica.</t>
  </si>
  <si>
    <t>1- Rehabilitación de los Sistemas de Cloración de los Acueductos Brujuelas-Casui, La Catalina y La Joyita</t>
  </si>
  <si>
    <t>7- Ampliación de Redes de Distribución de Agua Potable en Sector Paraiso II del Distrito Municipal La Caleta</t>
  </si>
  <si>
    <t>8- Ampliación de Redes de Distribución de Agua Potable en Sector Progreso Dominicano del Distrito Municipal La Caleta</t>
  </si>
  <si>
    <t>9- Ampliación de Redes de Distribución de Agua Potable en Sector Vista Alegre II del Distrito Municipal La Caleta</t>
  </si>
  <si>
    <t>10- Ampliación de Redes de Distribución de Agua Potable en Sector Altos de Chavón (1ra. Etapa) del Municipio Boca Chica</t>
  </si>
  <si>
    <t>11- Ampliación de Redes de Distribución de Agua Potable en Sector Mirador Aéreo del Distrito Municipal La Caleta</t>
  </si>
  <si>
    <t>12- Ampliación de Redes de Distribución de Agua Potable en Sector Brisas de Caucedo Sur del Municipio Boca Chica</t>
  </si>
  <si>
    <t>13- Ampliación de Redes de Distribución de Agua Potable en  la Calle Mella esq. Juan Francés, del Sector El Valiente del Distrito Municipal La Caleta</t>
  </si>
  <si>
    <t>14- Ampliación de Redes de Distribución de Agua Potable en  la Calle Posterior al Depósito de Hiper Olé, del Sector El Valiente del Distrito Municipal La Caleta</t>
  </si>
  <si>
    <t xml:space="preserve">                                                          Incrementada la cobertura y acceso de agua potable en cantidad, calidad y oportunidad priorizando zonas vulnerables</t>
  </si>
  <si>
    <t>ESTRUCTURA PROGRAMATICA</t>
  </si>
  <si>
    <t>CODIGO DEL PRODUCTO FISICO</t>
  </si>
  <si>
    <t>(8) Institución</t>
  </si>
  <si>
    <t>Reflejar la estructura programatica a la cual se vinculan en el presupuesto el bien o servicio identificado en el punto 3- (Redacción de producto)</t>
  </si>
  <si>
    <t xml:space="preserve">Código para medir metas fisicas </t>
  </si>
  <si>
    <t>Aumentada la cobertura de la Red de Distribución de Agua Potable en diferentes zonas del Municipio</t>
  </si>
  <si>
    <t>Incrementada la proporción de metros lineales de nuevas tuberías colocadas</t>
  </si>
  <si>
    <t>Población del Distrito Municipal La Caleta y de la Zona Norte del Municipio Boca Chica</t>
  </si>
  <si>
    <t>Suministro de Agua Potable</t>
  </si>
  <si>
    <t>A la población del Distrito Municipal La Caleta y de la Zona Norte del Municipio Boca Chica se les suministra el servicio de agua Potable a travez de la Red Pública</t>
  </si>
  <si>
    <t>Residentes de los Sectores bajo la Jurisdicción de la CORAABO con Distribución de Agua Potable atravez de la Red Pública</t>
  </si>
  <si>
    <t>Reducida la proporción de sectores conectados con Redes informales al sistema de agua potable.</t>
  </si>
  <si>
    <t xml:space="preserve">                                                          Incrementada la Producción de agua potable en cantidad y calidad</t>
  </si>
  <si>
    <t>Incrementada la cantidad de Unidades de Pozos en Servicio</t>
  </si>
  <si>
    <t>Población del Municipio de Boca Chica y Zonas Aledañas</t>
  </si>
  <si>
    <t>A la población del Municipio Boca Chica y Zonas Aledañas se les incrementará el suministro de agua Potable en cantidad y calidad</t>
  </si>
  <si>
    <t>Residentes de los Sectores bajo la Jurisdicción de la CORAABO con Producción de Agua Potable atravez de la Red Pública</t>
  </si>
  <si>
    <t>Optimizado el proceso de Potabilización</t>
  </si>
  <si>
    <t>Aumentada la cobertura del alcantarillado sanitario y capacidad de tratamiento de las aguas residuales</t>
  </si>
  <si>
    <t>Aumentada las Redes de Recolección del alcantarillado sanitario.</t>
  </si>
  <si>
    <t>Población de la zona urbana del Municipio Boca Chica y el Distrito Municipal La Caleta</t>
  </si>
  <si>
    <t>Recolección y Tratamiento de Aguas Residuales</t>
  </si>
  <si>
    <t>A la población del Municipio Boca Chica y el Distrito Municipal La Caleta se les incrementará la cobertura del Alcantarillado Sanitario</t>
  </si>
  <si>
    <t>Departamentos de Ingenieria/Operaciones</t>
  </si>
  <si>
    <t>Aumentada la eficiencia del tratamiento de las aguas residuales</t>
  </si>
  <si>
    <t>TOTAL</t>
  </si>
  <si>
    <t>Producción unitaria (litros por habitante al día) del municipio de Boca Chica</t>
  </si>
  <si>
    <t>Índice de Potabilidad de Agua del municipio de Boca Chica.</t>
  </si>
  <si>
    <t>Aguas Residuales Generadas (%) del municipio de Boca Chica</t>
  </si>
  <si>
    <t>Tratamiento de Aguas Residuales Recolectadas (%)  del municipio de Boca Chica</t>
  </si>
  <si>
    <t>Eficientizada la gestion comercial de agua potable y saneamiento</t>
  </si>
  <si>
    <t>Balance de agua gral. De los sistemas de aacueducto.</t>
  </si>
  <si>
    <t>Informe con resultado de los analisis de laboratorio realizado.</t>
  </si>
  <si>
    <t>Aguas Residuales Recolectadas (%) del municipio de Boca Chica</t>
  </si>
  <si>
    <t>Eficientizada la gestión comercial de agua potable y saneamiento</t>
  </si>
  <si>
    <t>BRUJUELA CASUI</t>
  </si>
  <si>
    <t>Regulador de Vacio conexión de 3/4 NGO (1" BRIGGS) adaptador de yugo</t>
  </si>
  <si>
    <t>ud</t>
  </si>
  <si>
    <t>Pata de Goteo con calentador a 115 V potencia 25 W</t>
  </si>
  <si>
    <t>INTERCAMBIADOR AUTOMATICO POR VACIO, MONTAJE A PARED</t>
  </si>
  <si>
    <t>Rotametro remoto con tubo de 3" y valvula manual</t>
  </si>
  <si>
    <t>Eyector con difusor de solución con válvulas antiretorno</t>
  </si>
  <si>
    <t>Monitor de cloro en el ambiente, de dos canales con dos sensores</t>
  </si>
  <si>
    <t>Alarma visual y sonora VAS-3</t>
  </si>
  <si>
    <t>Muñones de almacenamiento de tipo rodillo, base de aluminio fundido con acabado de pintura de esmalte acrilico uretano de 2 partes, resistente a la abrasión y corrosión, con rodillos de plastico de alto impacto, resistentes a la corrosión con ejes de acero inoxidable (dos muñones para cada cilindro)</t>
  </si>
  <si>
    <t>Mantenimineto Polipasto eléctrico, capacidad de 3 toneladas, Hizaje de 12 pies, velocidad de Hizaje: 7 pies por minuto, Voltaje (115/1/60), Cadena de Nickel Platiado, Velocidad del trole: 40 pies por minut, Brida estándar ajustable, 3.23"a 6.05, espacio libre de:</t>
  </si>
  <si>
    <t>Cilindro de Cloro VACIO DE C12 2000 lb (907 KG) con llenado estándar densidad de 125 por ciento, nuevo y vacio, según DOT106A500X, completo con tubos de Salida y fusibles</t>
  </si>
  <si>
    <t>Set de válvulas y conectores para intercambiador( tubing 5/8")</t>
  </si>
  <si>
    <t>Set de válvulas y conectores para rotámetro de hasta 4 Kg/H (tubing 1/2")</t>
  </si>
  <si>
    <t>Set de válvulas y conectores para eyector de 1" (tubing 1/2" OD)</t>
  </si>
  <si>
    <t>Válvula de PVC Compacta de 1/2"con sientos de Vitón</t>
  </si>
  <si>
    <t>Kit de Emergencia "B"</t>
  </si>
  <si>
    <t>Bomba booster de 3HPptipo cañon, v230 volt 1 F, para sistema de cloracio, incluye valvulas checks, valvulas bolas, accesorios de conexión en PVC SCH 80, Panel de control construido en PVC, con botonera de encendido y apagado, proteccion termica</t>
  </si>
  <si>
    <t>Set de tuberías y accesorios de PVC SCH 80 en 2", 1" y 1/2" para conexión del sistema de cloracion</t>
  </si>
  <si>
    <t xml:space="preserve">Instalacion, puesta en marcha y entrenamiento del sistema completo </t>
  </si>
  <si>
    <t>Catalina</t>
  </si>
  <si>
    <t>Sistema de cloracion marca superior, capacidad maxima de 25 PPD y rango de 0-50 LPD. Incluir 1 escala, 1 manguera de 10 pies de poliestileno, 1 llave para cierre de cilindro y regulador por vacío 0-25 para ser montado en manifold para cilindro de 150 L</t>
  </si>
  <si>
    <t>Set de accesorios en PVC SCH 80, valvulas, y conectores para conexión sistema de dosificacion al vacio</t>
  </si>
  <si>
    <t>Panel de control para bomba booster, de 1 HP, con proteccion termica y selector de encedido y apagado</t>
  </si>
  <si>
    <t>Set de accesorios electricos para conexión bombas y paneles</t>
  </si>
  <si>
    <t>electrobomba multicelular vertical CV trifasica, motor 2850 rpm, 1HP, succion y descarga de 1", aspa de acecro inoxidable, caudal de 9 galones por hora y 150 psi de presion</t>
  </si>
  <si>
    <t>Set de accesorios para conexión bomba, SCH 80, valuvias de bola y check, tuberías</t>
  </si>
  <si>
    <t>Cilindro de Cloro VACIO DE C12 150 lb (67KG) con llenado estándar densidad de 125 por ciento, nuevo y vacio, según  DOT106A500X,, CILINDRO VACIO</t>
  </si>
  <si>
    <t>Set de manometros sumergido en glicerina de 0-200 mca, esfera 2 1/2"</t>
  </si>
  <si>
    <t>Mano de obra instalacion sistema de dosificacion</t>
  </si>
  <si>
    <t>Joyita</t>
  </si>
  <si>
    <t>Construccion de caseta en block, com techo de hormigon de 2.5m x 2m, con puerta de madera y block de ventilacion</t>
  </si>
  <si>
    <t>GASTOS INDIRECTOS</t>
  </si>
  <si>
    <t>PA</t>
  </si>
  <si>
    <t>MOVIMIENTO DE TIERRA</t>
  </si>
  <si>
    <t>Replanteo</t>
  </si>
  <si>
    <t>Ml</t>
  </si>
  <si>
    <t>Excavación con  equipo  (H=0.80m A=0.60m)</t>
  </si>
  <si>
    <t>M³</t>
  </si>
  <si>
    <t>Suministro y colocación de asiento de arena (H=0.10M)</t>
  </si>
  <si>
    <t>Suministro de relleno Caliche regado, Nivelado y compactado
C/maquito, e = 0.10 mts</t>
  </si>
  <si>
    <t>Bote de material sobrante</t>
  </si>
  <si>
    <t>SUMINISTRO DE MATERIALES</t>
  </si>
  <si>
    <t>PVC SDR-26 SJ/G ø 2"</t>
  </si>
  <si>
    <t>M</t>
  </si>
  <si>
    <t>PVC SDR-26 SJ/G ø 3"</t>
  </si>
  <si>
    <t>PVC SDR-26 SJ/G ø 4"</t>
  </si>
  <si>
    <t>Tee Ø 4"x 2"x 90 HN</t>
  </si>
  <si>
    <t>Ud</t>
  </si>
  <si>
    <t>Tee Ø 3"x 2"x 90 HN</t>
  </si>
  <si>
    <t>Tee Ø 4"x 3"x 90 HN</t>
  </si>
  <si>
    <t>Juntas Tipo Dresser Ø 04" HG</t>
  </si>
  <si>
    <t>Juntas Tipo Dresser Ø 3" HG</t>
  </si>
  <si>
    <t>Juntas Tipo Dresser Ø 2" HG</t>
  </si>
  <si>
    <t>Juntas Tapón  Ø 3" HG</t>
  </si>
  <si>
    <t>Juntas Tapón  Ø 2" HG</t>
  </si>
  <si>
    <t>SEÑALIZACION</t>
  </si>
  <si>
    <t>MANO DE OBRA</t>
  </si>
  <si>
    <t xml:space="preserve">Tee </t>
  </si>
  <si>
    <t xml:space="preserve">Junta Tipo Dresser y Tapón </t>
  </si>
  <si>
    <t>Limpieza Final</t>
  </si>
  <si>
    <t>ACOMETIDAS</t>
  </si>
  <si>
    <t>Excavación con maquinaria en roca (2") (0.6*1.00*2,476.96 mt)</t>
  </si>
  <si>
    <t>Excavación P/Empalme (2*2*2 mt)(4)</t>
  </si>
  <si>
    <t>Excavación P/Nodos (1.5*1.5*1 mt)(15)</t>
  </si>
  <si>
    <t>Colchon de Arena (5 cm de Espesor)</t>
  </si>
  <si>
    <t>Relleno Compactado C/Maquito (Suministro, Colocación y Compactado)</t>
  </si>
  <si>
    <t>Bote de Material Restante</t>
  </si>
  <si>
    <t>Tubos de 2" x 19´ PVC SDR-26</t>
  </si>
  <si>
    <t>ML</t>
  </si>
  <si>
    <t>Pegamento de Tuberias PVC</t>
  </si>
  <si>
    <t>GL</t>
  </si>
  <si>
    <t>Junta Tapon de 2" HN</t>
  </si>
  <si>
    <t>Tee de 2"x 2" HN</t>
  </si>
  <si>
    <t>Tee de 16" @ 2" HN</t>
  </si>
  <si>
    <t>Valvula de 2" HN</t>
  </si>
  <si>
    <t>Junta Dresser de 2" HN</t>
  </si>
  <si>
    <t>Junta Dresser de 16" HN</t>
  </si>
  <si>
    <t>Codo de 2" HN</t>
  </si>
  <si>
    <t>Tubos de 3" x 19´ PVC SDR-26</t>
  </si>
  <si>
    <t>Excavación con maquinaria en roca</t>
  </si>
  <si>
    <t>Bote de Material</t>
  </si>
  <si>
    <t>Tubos de 4" x 19´ PVC SDR-26</t>
  </si>
  <si>
    <t xml:space="preserve">Cemento PVC </t>
  </si>
  <si>
    <t>Junta Drasser de 4" H.G</t>
  </si>
  <si>
    <t>Junta Drasser de 2" H.G</t>
  </si>
  <si>
    <t>Codo de 4"x90º HN</t>
  </si>
  <si>
    <t>Codo de 4"x45º HN</t>
  </si>
  <si>
    <t>Codo de 2"x45º HN</t>
  </si>
  <si>
    <t>Junta Tapon de 4" HN</t>
  </si>
  <si>
    <t>Tee de  4" @ 2" H.G</t>
  </si>
  <si>
    <t>Piezas Especiales</t>
  </si>
  <si>
    <t>%</t>
  </si>
  <si>
    <t>TRABAJOS PRELIMINARES</t>
  </si>
  <si>
    <t>Replanteo y Charrancha</t>
  </si>
  <si>
    <t>M²</t>
  </si>
  <si>
    <t>Fumigación zapatas y pisos</t>
  </si>
  <si>
    <t>Señalización y equipos de seguridad en obra</t>
  </si>
  <si>
    <t>Excavación con maquinaria en roca (0.45*0.35*470 mt)</t>
  </si>
  <si>
    <t>HORMIGON ARMADO</t>
  </si>
  <si>
    <t>ZAPATAS MUROS 6" 0.45m x 0.25m HORMIGON 1:3:5 CON LIGADORA</t>
  </si>
  <si>
    <t>ZAPATAS DE COLUMNAS  0.9*0.45*0.25 mt</t>
  </si>
  <si>
    <t>COLUMNA DE AMARRE 0.15x0.30 4 f3/8" - 3/8"@0.20m TAPA Y TAPA 1:2:4 LIGADO A MANO</t>
  </si>
  <si>
    <t>VIGA DE AMARRE 15x20 4 f 3/8" - 3/8"@0.20m 1:2:4 CON LIGADORA</t>
  </si>
  <si>
    <t>MUROS DE BLOQUES DE HORMIGON</t>
  </si>
  <si>
    <t>BLOQUES HORMIGON DE 6" - 3/8" @ 0.80m</t>
  </si>
  <si>
    <t>TERMINACIONES</t>
  </si>
  <si>
    <t>FRAGUACHE CON LLANA</t>
  </si>
  <si>
    <t>EMPAÑETE MAESTREADO - EXTERIOR</t>
  </si>
  <si>
    <t>PUERTA DE ENTRADA</t>
  </si>
  <si>
    <t>Confeccion e instalacion de Puerta Metalica apanelada 1.00 x 2.10 m</t>
  </si>
  <si>
    <t xml:space="preserve">ud </t>
  </si>
  <si>
    <t>Confeccion e instalacion de Puerta Metalica apanelada 6.40 x 2.10 m</t>
  </si>
  <si>
    <t>PINTURA</t>
  </si>
  <si>
    <t xml:space="preserve">PINTURA MANTENIMIENTO </t>
  </si>
  <si>
    <t>CONSTRUCCION DE CASETA DE OPERACIONES</t>
  </si>
  <si>
    <t>TRABAJOS GENERALES</t>
  </si>
  <si>
    <t>DEMOLICIONES</t>
  </si>
  <si>
    <t>CONSTRUCCION DE CANAL TIPO CAJON DOBLE EN HORMIGON ARMADO CON LOSA DE TECHO (CAJON DE 6.75 M de Ancho X 2.50 M de Altura Promedio)(300 ML, TRAMO I)</t>
  </si>
  <si>
    <t>CONSTRUCCION DE CABEZAL DE ENTRADA</t>
  </si>
  <si>
    <t>CONSTRUCCION DE CABEZAL DE SALIDA</t>
  </si>
  <si>
    <t>CONSTRUCCION DE TRAGANTES PARA DRENAJE PLUVIAL (CADA 30 MTS A CADA LADO INCLUYE CONECCION)</t>
  </si>
  <si>
    <t>CONSTRUCCION DE ACERAS</t>
  </si>
  <si>
    <t>CONSTRUCCION DE CONTENES</t>
  </si>
  <si>
    <t>CONSTRUCCION DE BADENES</t>
  </si>
  <si>
    <t xml:space="preserve">CONSTRUCCION DE ATAGUIAS </t>
  </si>
  <si>
    <t>MANEJO DE AGUA CON BOMBA DE ACHIQUE (DESDE Ø2" HASTA 6")</t>
  </si>
  <si>
    <t xml:space="preserve">2- Rehabilitacion de Seis (6) Pozos del Campo de Pozos Brujuela Casui </t>
  </si>
  <si>
    <t>Rehabilitacion de Pozos (#13, #15, #16, #17, #18 y #19) del Campo de Pozos Brujuela Casui</t>
  </si>
  <si>
    <t>3- Construcción de Redes de Distribución de Agua Potable en Sector La Altagracia del Municipio Boca Chica</t>
  </si>
  <si>
    <t>Excavación con maquina en roca (Trencher) (3") (0.4*1.05*30,000 mt)</t>
  </si>
  <si>
    <t>Excavación con maquina en roca (Trencher) (4") (0.4*1.05*15,000 mt)</t>
  </si>
  <si>
    <t>Excavación con maquina en roca (Trencher) (6") (0.7*1.05*10,000 mt)</t>
  </si>
  <si>
    <t>Suministro Y Colocación de Colchon de Arena (5 cm de Espesor)</t>
  </si>
  <si>
    <t>Suministro, Colocacion Y Compactado de Material de Relleno</t>
  </si>
  <si>
    <t>SUMINISTRO DE TUBERIAS Y PIEZAS</t>
  </si>
  <si>
    <t>Tubos de 6" x 19´ PVC SDR-26</t>
  </si>
  <si>
    <t>Pegamento de Tubo PVC</t>
  </si>
  <si>
    <t>Junta Drasser de 3" H.G</t>
  </si>
  <si>
    <t>Junta Drasser de 6" H.G</t>
  </si>
  <si>
    <t>Valvula de 3" HN</t>
  </si>
  <si>
    <t>Valvula de 4" HN</t>
  </si>
  <si>
    <t>Valvula de 6" HN</t>
  </si>
  <si>
    <t>Tapon de 3" HG</t>
  </si>
  <si>
    <t>Tapon de 4" HG</t>
  </si>
  <si>
    <t>Tapon de 6" HG</t>
  </si>
  <si>
    <t>MANO DE OBRA DE INSTALACION DE TUBERIAS Y PIEZAS</t>
  </si>
  <si>
    <t>Valvulas de 6", 4" y 3" HN</t>
  </si>
  <si>
    <t>Junta Dresser de 3", 4" y 6" HG</t>
  </si>
  <si>
    <t>16- Construcción de Depósito de Almacenamiento y Regulación del Sistema de Acueducto La Catalina</t>
  </si>
  <si>
    <t>PRELIMINARES</t>
  </si>
  <si>
    <t>Diseño, Calculo y Elavoracion de planos (incluyendo estudio geotecnico) de Naves</t>
  </si>
  <si>
    <t>Remocion de Capa Vegetal</t>
  </si>
  <si>
    <t>Fumigacion</t>
  </si>
  <si>
    <t>Bote</t>
  </si>
  <si>
    <t>Excavacion de Zapata de muro de 6"</t>
  </si>
  <si>
    <t>Excavacion de Zapata Z1 (1.20 x 1.20 x 1.30)m</t>
  </si>
  <si>
    <t>Relleno compactado (Caliche)</t>
  </si>
  <si>
    <t>Bote de material excabado</t>
  </si>
  <si>
    <t xml:space="preserve">Zapata de muro de block de 6" (0.45 x 0.25)m, Acero 5Ø3/8" Estribos Ø3/8" @ 0.20 m, f´c=210 kg/cm² </t>
  </si>
  <si>
    <t>Zapata Z1 (1.20 x 1.20 x 1.30)m, Fy = 4,200 kg/cm², F´c = 210kg/cm², Ø1/2"@0.15m</t>
  </si>
  <si>
    <t>Pedestal P1 (0.5 x 0.5)m, 12Ø3/4", Estribo Ø3/8"@0.20m, F´c = 210kg/cm²</t>
  </si>
  <si>
    <t>Viga de amarre (0.20 x 0.20)m, 4Ø1/2" Estribo Ø3/8" @ 0.10m, F´c = 210kg/cm²</t>
  </si>
  <si>
    <t>Piso pulido con "helicoptero" h=0.15m, malla electrosoldada D2.5xD2.5 (10x10)cm, fibra polipropileno (lb/m³, según especificacion tecnica), curado de superficie, f´c=210kg/cm²</t>
  </si>
  <si>
    <t>MURO</t>
  </si>
  <si>
    <t>Block de hormigon de 6", bastones de Ø3/8" @ 0.40m, serpentina Ø3/8" @ 0.40 m SNP</t>
  </si>
  <si>
    <t>TERMINACION</t>
  </si>
  <si>
    <t>Pañete amaestrado</t>
  </si>
  <si>
    <t>Canto</t>
  </si>
  <si>
    <t>Mocheta</t>
  </si>
  <si>
    <t>Terminacion de pedestal (incluye fraguache, pañete, canto y mocheta)</t>
  </si>
  <si>
    <t>INSTALACION ELECTRICA</t>
  </si>
  <si>
    <t>Caja de breaker 8@16 circuitos</t>
  </si>
  <si>
    <t>Interruptor doble</t>
  </si>
  <si>
    <t>Interruptor sencillo</t>
  </si>
  <si>
    <t>Lampara 2" x 4"</t>
  </si>
  <si>
    <t>Tomacorriente doble, 110 voltios</t>
  </si>
  <si>
    <t>Tomacorriente sencillo, 220 voltios</t>
  </si>
  <si>
    <t>INSTALACION SANITARIA</t>
  </si>
  <si>
    <t>Inodoro Simple</t>
  </si>
  <si>
    <t>lavamanos simple</t>
  </si>
  <si>
    <t>Desague de piso Ø2" PVC SDR-41</t>
  </si>
  <si>
    <t>Ventilacion de Ø3" PVC SDR-41</t>
  </si>
  <si>
    <t>Bajante de descarga Ø4" PVC SDR-41</t>
  </si>
  <si>
    <t>Salida de agua potable PVC SCH-40 Ø1/2"</t>
  </si>
  <si>
    <t>Salida de agua negra PVC SDR-41</t>
  </si>
  <si>
    <t>Tuberia colectora de agua negra Ø4" PVC SDR-41</t>
  </si>
  <si>
    <t>Tuberia de distribucion de agua potable PVC SCH-40 Ø1/2"</t>
  </si>
  <si>
    <t>Registro de dimension interna (0.60x0.60*0.40)m, bloques de hormigon de 6", bastones de Ø3/8" @ 0.40m BNP, Todas las camaras llenas, losa HA h=0.10m en piso, pañete pulido, tapa HA.</t>
  </si>
  <si>
    <t>ESTRUCTURA METALICA</t>
  </si>
  <si>
    <t>Aluzinc en techo doble cara con aislante termico interno de poliestireno (tipo sandwich) 2" de espesor, calibre 26.</t>
  </si>
  <si>
    <t>Bajante de techo Ø4" PVC SDR-41</t>
  </si>
  <si>
    <t>Caballete de aluzinc 24"(galvanizado, calibre 26)</t>
  </si>
  <si>
    <t>PIES</t>
  </si>
  <si>
    <t>Canaleta aluzinc 24" (galvanizado, calibre 26)</t>
  </si>
  <si>
    <t>Cubrefalta muro-techo de aluzinc 24" (galvanizado, calibre 26)</t>
  </si>
  <si>
    <t>Placa de 14"x14"x3/4" apoyado en columna W10X30 en pedestal P4 (Acero A-36, (8) pernos A-36 Ø1" anclados a pedestal, grout de nivelacion, soldaduta E-7018, pintura anticorrosiva)</t>
  </si>
  <si>
    <t>Columna W10X30 ( Acero A-36, soldadura E-7018, pintura anticorrosova)</t>
  </si>
  <si>
    <t>Columna W10X30 ( Acero A-36, soldadura E-7018, pintura anticorrosova, para centro)</t>
  </si>
  <si>
    <t>Viga W18X35 (Acero A-36, soldadura E-7018, pintura anticorrosiva)</t>
  </si>
  <si>
    <t>Union columna W10X30 con Viga W18X35 y complementos, soldadura                         E-7018, pintura anticorrosiva.</t>
  </si>
  <si>
    <t>Tensor Ø5/8" techo (con conexión a viga en placa de 3/8", acero A-36 soldadura E-7018, pintura anticorrosiva)</t>
  </si>
  <si>
    <t>Tensor Ø1" columna (con conexión a viga en placa de 3/8", acero A-36, soldadura E-7018, pintura anticorrosiva)</t>
  </si>
  <si>
    <t>Correa en techo tipo C de (200x70x2.3)mm galvanizado (con tillas 5/8" en centro de vano, 4 tornillos A-325 Ø1/2", soldadura E-7018, con portacorreas de 4"x7"x3/16"</t>
  </si>
  <si>
    <t>Aluzinc en muro doble con cara aislante termico interno de poliestireno (tipo sandwich), calibre 26, 2" de espesor, liso a ambas caras.</t>
  </si>
  <si>
    <t>Cubrefalta (Rodapie) Aluzinc 12" (galvanizado, calibre 26 blanco)</t>
  </si>
  <si>
    <t>Cubrefalta (Esquinero exterior) Aluzinc 16" (galvanizado, calibre 26 blanco)</t>
  </si>
  <si>
    <t>Marco de perfil metalico en perimetro de ventana tipo C de (200x70x2.3)mm galvanizado</t>
  </si>
  <si>
    <t>Cubrefalta en perimetro de ventana en (L) 12" (galvanizado, calibre 26 blanco)</t>
  </si>
  <si>
    <t>PUERTA</t>
  </si>
  <si>
    <t>Puerta de metal corrediza (4.00 x 2.60)m de un paño, tola de 1/16" (incluye puerta peatonal).</t>
  </si>
  <si>
    <t>Puerta de metal corrediza (4.00 x 2.60)m de un paño, tola de 1/16".</t>
  </si>
  <si>
    <t>Puerta de polimetal c/ llavin</t>
  </si>
  <si>
    <t xml:space="preserve">VENTANA   </t>
  </si>
  <si>
    <t>Ventana salomonica de aluminio AA reforzado, balnco, con operadores de palanca fija</t>
  </si>
  <si>
    <t>REVESTIMIENTO</t>
  </si>
  <si>
    <t>Ceramica de pared de baño</t>
  </si>
  <si>
    <t>GRUA</t>
  </si>
  <si>
    <t>S/C Grua aporticada de 6 toneladas</t>
  </si>
  <si>
    <t>17- Construcción Sistema de Abastecimiento de Agua Potable para el Aeropuerto Internacional de Las Americas JFPG</t>
  </si>
  <si>
    <t>MACRO RED DE Ø16" HD PARA ABASTECIMIENTO DEL AILA-JFPG</t>
  </si>
  <si>
    <r>
      <t>MATENIMIENTO CORRECTIVO A DEPOSITO REGULADOR METALICO CON SUPERFICIE DE 3,785 M</t>
    </r>
    <r>
      <rPr>
        <b/>
        <sz val="11"/>
        <color rgb="FF2F5496"/>
        <rFont val="Calibri"/>
        <family val="2"/>
      </rPr>
      <t>³</t>
    </r>
    <r>
      <rPr>
        <b/>
        <sz val="11"/>
        <color rgb="FF2F5496"/>
        <rFont val="Calibri"/>
        <family val="2"/>
        <scheme val="minor"/>
      </rPr>
      <t xml:space="preserve"> CIRCULAR</t>
    </r>
  </si>
  <si>
    <t>REMOZAMIENTO ESTRUCTURAL DE PRODUCCION DE CAMPO DE POZOS LA JOYITA</t>
  </si>
  <si>
    <t>Reducción de 3" @ 2" HN</t>
  </si>
  <si>
    <t xml:space="preserve">Tubos de 2" x 19´ </t>
  </si>
  <si>
    <t>Tee de 2" x 2" HN</t>
  </si>
  <si>
    <t xml:space="preserve">Excavación a Compresor en roca </t>
  </si>
  <si>
    <t>Relleno Compactado C/Maquito</t>
  </si>
  <si>
    <t>Reposición de Capa Asfáltica</t>
  </si>
  <si>
    <t>Tubos de 6" x 19´</t>
  </si>
  <si>
    <t>Tubos de 4" x 19´</t>
  </si>
  <si>
    <t>Tubos de 3" x 19´</t>
  </si>
  <si>
    <t>Tubos de 2" x 19</t>
  </si>
  <si>
    <t>Clamp de 20" @ 6" H.G</t>
  </si>
  <si>
    <t>Clamp de 20" @ 4" H.G</t>
  </si>
  <si>
    <t>Clamp de 20" @ 3" H.G</t>
  </si>
  <si>
    <t xml:space="preserve">Tee de 6" x 3" H.G </t>
  </si>
  <si>
    <t>Tee de 4" x 4" H.G</t>
  </si>
  <si>
    <t>Tee de 4" x 3" H.G</t>
  </si>
  <si>
    <t>Tee de 3" x 3" H.G</t>
  </si>
  <si>
    <t>Tee de 2" x 2" H.G</t>
  </si>
  <si>
    <t>Junta Tapon de 3" HN</t>
  </si>
  <si>
    <t>Valvulas de 4" H.G</t>
  </si>
  <si>
    <t>Valvulas de 2" H.G</t>
  </si>
  <si>
    <t>Tapon de 3" PVC</t>
  </si>
  <si>
    <t>Tapon de 2" PVC</t>
  </si>
  <si>
    <t>Codo de 3" x 90º H.G</t>
  </si>
  <si>
    <t>Codos de 2" PVC a 45°</t>
  </si>
  <si>
    <t>Codos de 2" PVC a 90°</t>
  </si>
  <si>
    <t>Curz de 3" x 3" HN</t>
  </si>
  <si>
    <t>Cruz 2" x 2" PVC</t>
  </si>
  <si>
    <t>Tee de 3" @ 2" PVC</t>
  </si>
  <si>
    <t>Instalacion de Piezas especiales</t>
  </si>
  <si>
    <t>Prueba Hidroestatica De Ø3" PVC SDR-26</t>
  </si>
  <si>
    <t>Prueba Hidroestatica De Ø4" PVC SDR-26</t>
  </si>
  <si>
    <t>Cemento PVC</t>
  </si>
  <si>
    <t>Junta Dresser de 3" HN</t>
  </si>
  <si>
    <t>Tee de 3" x 2" HN</t>
  </si>
  <si>
    <t>Prueba Hidroestatica De Ø2" PVC SDR-26</t>
  </si>
  <si>
    <t>Excavación con Equipos Para Tuberia de 3" (0.6*1.00*5113.9 mt)</t>
  </si>
  <si>
    <t>Excavación con Equipos Para Tuberia de 4" (0.6*1.10*479 mt)</t>
  </si>
  <si>
    <t>Suministro Y Colocación de Colchon de Arena (10 cm de Espesor)</t>
  </si>
  <si>
    <t>Tee de 3" HN</t>
  </si>
  <si>
    <t>Yee de 3" HN</t>
  </si>
  <si>
    <t>Codo de 3"x 90° HN</t>
  </si>
  <si>
    <t>Tee de 6" a 3" HN</t>
  </si>
  <si>
    <t>Tee de 6" a 4" HN</t>
  </si>
  <si>
    <t>Valvulas de 6" y 4" HN</t>
  </si>
  <si>
    <t>Excavación con maquinaria en roca (3") (0.6*1.00*300 mt)</t>
  </si>
  <si>
    <t>Excavación P/Empalme (2*2*2 mt)</t>
  </si>
  <si>
    <t>Tee de 6" @ 3" HN</t>
  </si>
  <si>
    <t>Valvula Completa de 3" HN</t>
  </si>
  <si>
    <t>Junta Dresser de 6" HN</t>
  </si>
  <si>
    <t>4- Ampliación de  MacroRed de Distribución de Agua Potable en el Distrito Municipal La Caleta,  Municipio Boca Chica</t>
  </si>
  <si>
    <t>Excavación con maquinaria en roca (para tuberia 12" y 4")</t>
  </si>
  <si>
    <t>Excavación con maquinaria en roca (3mt*3mt*2 mt)</t>
  </si>
  <si>
    <t>Colchon de Arena (20 cm de Espesor)</t>
  </si>
  <si>
    <t>Tubos de 12" x 19´ PVC SDR-26 Con Junta de Goma</t>
  </si>
  <si>
    <t>Lubricante de Tubo PVC 1kg</t>
  </si>
  <si>
    <t>Junta Dresser de 12" HN</t>
  </si>
  <si>
    <t>Valvula de 12" HN Completa</t>
  </si>
  <si>
    <t>Junta Dresser de 4" HN</t>
  </si>
  <si>
    <t>Tee de 12" x 4" HN</t>
  </si>
  <si>
    <t>Valvula de 4" HN Completa</t>
  </si>
  <si>
    <t xml:space="preserve">Tubos de 4" x 19´ PVC SDR-26 </t>
  </si>
  <si>
    <t>Pegamento PVC</t>
  </si>
  <si>
    <t>5- 2da. Etapa Ampliación de Redes de Agua Potable en el Sector Los Unidos del Distrito Municipal La Caleta</t>
  </si>
  <si>
    <t xml:space="preserve">15- Rehabilitación de Depósitos de Almacenamiento y Regulación de los Sistemas de Acueducto Brujuelas-Casui y La Joyita </t>
  </si>
  <si>
    <t>18- Saneamiento de Cañada en la Calle el Túnel de Andrés, del Municipio Boca Chica</t>
  </si>
  <si>
    <t>19- Remozamiento de Casetas y Verjado de Diecisiete (17) Pozos del Campo de Pozos Brujuelas-Casui</t>
  </si>
  <si>
    <t xml:space="preserve">Construccion de Casetas Y Verjados de Pozos (Desde el Pozo #5 hasta #21)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</si>
</sst>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_(* #,##0.000_);_(* \(#,##0.000\);_(* &quot;-&quot;??_);_(@_)"/>
    <numFmt numFmtId="166" formatCode="[$$-1C0A]#,##0.00;[Red][$$-1C0A]#,##0.00"/>
    <numFmt numFmtId="167" formatCode="_([$DOP]\ * #,##0.00_);_([$DOP]\ * \(#,##0.00\);_([$DOP]\ * &quot;-&quot;??_);_(@_)"/>
    <numFmt numFmtId="168" formatCode="0.000000"/>
  </numFmts>
  <fonts count="56">
    <font>
      <sz val="11"/>
      <color theme="1"/>
      <name val="Calibri"/>
      <family val="2"/>
      <scheme val="minor"/>
    </font>
    <font>
      <b/>
      <sz val="11"/>
      <color theme="1"/>
      <name val="Calibri"/>
      <family val="2"/>
      <scheme val="minor"/>
    </font>
    <font>
      <sz val="14"/>
      <color theme="1"/>
      <name val="Calibri"/>
      <family val="2"/>
      <scheme val="minor"/>
    </font>
    <font>
      <b/>
      <sz val="14"/>
      <color theme="0"/>
      <name val="Calibri"/>
      <family val="2"/>
      <scheme val="minor"/>
    </font>
    <font>
      <b/>
      <sz val="14"/>
      <color rgb="FFFFFFFF"/>
      <name val="Calibri"/>
      <family val="2"/>
      <scheme val="minor"/>
    </font>
    <font>
      <b/>
      <sz val="11"/>
      <color rgb="FFFFFFFF"/>
      <name val="Calibri"/>
      <family val="2"/>
      <scheme val="minor"/>
    </font>
    <font>
      <i/>
      <sz val="11"/>
      <color theme="1"/>
      <name val="Calibri"/>
      <family val="2"/>
      <scheme val="minor"/>
    </font>
    <font>
      <b/>
      <sz val="11"/>
      <color rgb="FF000000"/>
      <name val="Calibri"/>
      <family val="2"/>
      <scheme val="minor"/>
    </font>
    <font>
      <sz val="11"/>
      <color rgb="FF000000"/>
      <name val="Calibri"/>
      <family val="2"/>
      <scheme val="minor"/>
    </font>
    <font>
      <sz val="11"/>
      <color theme="1"/>
      <name val="Gotham Rounded Bold"/>
    </font>
    <font>
      <sz val="11"/>
      <color theme="1"/>
      <name val="Times New Roman"/>
      <family val="1"/>
    </font>
    <font>
      <sz val="8"/>
      <name val="Calibri"/>
      <family val="2"/>
      <scheme val="minor"/>
    </font>
    <font>
      <u/>
      <sz val="11"/>
      <color theme="10"/>
      <name val="Calibri"/>
      <family val="2"/>
      <scheme val="minor"/>
    </font>
    <font>
      <sz val="11"/>
      <color rgb="FF2F5496"/>
      <name val="Calibri"/>
      <family val="2"/>
      <scheme val="minor"/>
    </font>
    <font>
      <b/>
      <sz val="11"/>
      <color rgb="FF2F5496"/>
      <name val="Calibri"/>
      <family val="2"/>
      <scheme val="minor"/>
    </font>
    <font>
      <b/>
      <sz val="16"/>
      <color theme="0"/>
      <name val="Calibri"/>
      <family val="2"/>
      <scheme val="minor"/>
    </font>
    <font>
      <sz val="12"/>
      <color rgb="FF7F7F7F"/>
      <name val="Gill Sans Nova"/>
      <family val="2"/>
      <charset val="1"/>
    </font>
    <font>
      <sz val="12"/>
      <color theme="1"/>
      <name val="Arial"/>
      <family val="2"/>
      <charset val="1"/>
    </font>
    <font>
      <sz val="12"/>
      <color rgb="FF595959"/>
      <name val="Gill Sans Nova"/>
      <family val="2"/>
      <charset val="1"/>
    </font>
    <font>
      <sz val="11"/>
      <color theme="1"/>
      <name val="Arial"/>
      <family val="2"/>
      <charset val="1"/>
    </font>
    <font>
      <sz val="12"/>
      <color rgb="FF000000"/>
      <name val="Gill Sans Nova"/>
      <family val="2"/>
      <charset val="1"/>
    </font>
    <font>
      <b/>
      <sz val="11"/>
      <color theme="0"/>
      <name val="Calibri"/>
      <family val="2"/>
      <scheme val="minor"/>
    </font>
    <font>
      <sz val="12"/>
      <color rgb="FF000000"/>
      <name val="Calibri Light"/>
      <family val="2"/>
      <scheme val="major"/>
    </font>
    <font>
      <b/>
      <sz val="11"/>
      <color theme="1"/>
      <name val="Gotham Rounded Bold"/>
    </font>
    <font>
      <b/>
      <sz val="12"/>
      <color theme="1"/>
      <name val="Calibri"/>
      <family val="2"/>
      <scheme val="minor"/>
    </font>
    <font>
      <sz val="11"/>
      <color theme="1"/>
      <name val="Gotham Rounded Boldi"/>
    </font>
    <font>
      <sz val="12"/>
      <color theme="1"/>
      <name val="Calibri"/>
      <family val="2"/>
      <scheme val="minor"/>
    </font>
    <font>
      <b/>
      <sz val="12"/>
      <color rgb="FFC00000"/>
      <name val="Calibri"/>
      <family val="2"/>
      <scheme val="minor"/>
    </font>
    <font>
      <sz val="10"/>
      <color theme="1"/>
      <name val="Calibri"/>
      <family val="2"/>
      <scheme val="minor"/>
    </font>
    <font>
      <sz val="11"/>
      <color rgb="FF000000"/>
      <name val="Calibri"/>
      <family val="2"/>
      <scheme val="minor"/>
    </font>
    <font>
      <b/>
      <sz val="11"/>
      <color rgb="FF000000"/>
      <name val="Gotham Rounded Bold"/>
    </font>
    <font>
      <sz val="11"/>
      <color rgb="FF000000"/>
      <name val="Gotham Rounded Bold"/>
    </font>
    <font>
      <sz val="11"/>
      <color rgb="FF000000"/>
      <name val="Gotham Rounded Boldi"/>
    </font>
    <font>
      <sz val="11"/>
      <name val="Calibri"/>
      <family val="2"/>
      <scheme val="minor"/>
    </font>
    <font>
      <b/>
      <sz val="11"/>
      <name val="Calibri"/>
      <family val="2"/>
      <scheme val="minor"/>
    </font>
    <font>
      <b/>
      <sz val="11"/>
      <name val="Aptos Narrow"/>
      <family val="2"/>
    </font>
    <font>
      <sz val="9"/>
      <color theme="1"/>
      <name val="Calibri"/>
      <family val="2"/>
      <scheme val="minor"/>
    </font>
    <font>
      <b/>
      <sz val="12"/>
      <color theme="0"/>
      <name val="Calibri"/>
      <family val="2"/>
      <scheme val="minor"/>
    </font>
    <font>
      <b/>
      <sz val="14"/>
      <color theme="8" tint="0.79998168889431442"/>
      <name val="Calibri"/>
      <family val="2"/>
      <scheme val="minor"/>
    </font>
    <font>
      <sz val="11"/>
      <color theme="1"/>
      <name val="Calibri"/>
      <family val="2"/>
      <scheme val="minor"/>
    </font>
    <font>
      <sz val="11"/>
      <color rgb="FF000000"/>
      <name val="Calibri"/>
      <family val="2"/>
      <scheme val="minor"/>
    </font>
    <font>
      <b/>
      <sz val="11"/>
      <color rgb="FF2F5496"/>
      <name val="Calibri"/>
      <family val="2"/>
    </font>
    <font>
      <sz val="10"/>
      <name val="Arial"/>
      <family val="2"/>
    </font>
    <font>
      <sz val="11"/>
      <color theme="1"/>
      <name val="Calibri"/>
      <family val="2"/>
    </font>
    <font>
      <b/>
      <sz val="14"/>
      <color theme="4" tint="-0.499984740745262"/>
      <name val="Calibri"/>
      <family val="2"/>
      <scheme val="minor"/>
    </font>
    <font>
      <b/>
      <sz val="13"/>
      <color theme="4" tint="-0.499984740745262"/>
      <name val="Calibri"/>
      <family val="2"/>
      <scheme val="minor"/>
    </font>
    <font>
      <sz val="12"/>
      <color rgb="FF000000"/>
      <name val="Calibri"/>
      <family val="2"/>
    </font>
    <font>
      <sz val="12"/>
      <color theme="1"/>
      <name val="Calibri"/>
      <family val="2"/>
    </font>
    <font>
      <b/>
      <sz val="14"/>
      <color theme="1"/>
      <name val="Calibri"/>
      <family val="2"/>
      <scheme val="minor"/>
    </font>
    <font>
      <sz val="14"/>
      <name val="Calibri"/>
      <family val="2"/>
      <scheme val="minor"/>
    </font>
    <font>
      <b/>
      <sz val="16"/>
      <color rgb="FF2F5496"/>
      <name val="Calibri"/>
      <family val="2"/>
      <scheme val="minor"/>
    </font>
    <font>
      <b/>
      <sz val="14"/>
      <name val="Calibri"/>
      <family val="2"/>
      <scheme val="minor"/>
    </font>
    <font>
      <sz val="12"/>
      <name val="Calibri"/>
      <family val="2"/>
      <scheme val="minor"/>
    </font>
    <font>
      <sz val="12"/>
      <color theme="4" tint="-0.499984740745262"/>
      <name val="Calibri"/>
      <family val="2"/>
      <scheme val="minor"/>
    </font>
    <font>
      <b/>
      <sz val="12"/>
      <color rgb="FFFFFFFF"/>
      <name val="Calibri"/>
      <family val="2"/>
      <scheme val="minor"/>
    </font>
    <font>
      <sz val="12"/>
      <color rgb="FF000000"/>
      <name val="Calibri"/>
      <family val="2"/>
      <scheme val="minor"/>
    </font>
  </fonts>
  <fills count="22">
    <fill>
      <patternFill patternType="none"/>
    </fill>
    <fill>
      <patternFill patternType="gray125"/>
    </fill>
    <fill>
      <patternFill patternType="solid">
        <fgColor rgb="FF0070C0"/>
        <bgColor indexed="64"/>
      </patternFill>
    </fill>
    <fill>
      <patternFill patternType="solid">
        <fgColor rgb="FFD5DCE4"/>
        <bgColor indexed="64"/>
      </patternFill>
    </fill>
    <fill>
      <patternFill patternType="solid">
        <fgColor rgb="FFFFFFFF"/>
        <bgColor indexed="64"/>
      </patternFill>
    </fill>
    <fill>
      <patternFill patternType="solid">
        <fgColor rgb="FF002060"/>
        <bgColor indexed="64"/>
      </patternFill>
    </fill>
    <fill>
      <patternFill patternType="solid">
        <fgColor rgb="FF2F5496"/>
        <bgColor indexed="64"/>
      </patternFill>
    </fill>
    <fill>
      <patternFill patternType="solid">
        <fgColor theme="8" tint="0.39997558519241921"/>
        <bgColor indexed="64"/>
      </patternFill>
    </fill>
    <fill>
      <patternFill patternType="solid">
        <fgColor rgb="FF00B0F0"/>
        <bgColor indexed="64"/>
      </patternFill>
    </fill>
    <fill>
      <patternFill patternType="solid">
        <fgColor rgb="FFD9E1F2"/>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1"/>
        <bgColor indexed="64"/>
      </patternFill>
    </fill>
    <fill>
      <patternFill patternType="solid">
        <fgColor theme="8" tint="-0.249977111117893"/>
        <bgColor indexed="64"/>
      </patternFill>
    </fill>
    <fill>
      <patternFill patternType="solid">
        <fgColor rgb="FFFFFFFF"/>
        <bgColor rgb="FFFFFFFF"/>
      </patternFill>
    </fill>
    <fill>
      <patternFill patternType="solid">
        <fgColor theme="4"/>
        <bgColor indexed="64"/>
      </patternFill>
    </fill>
    <fill>
      <patternFill patternType="solid">
        <fgColor rgb="FFD9E1F2"/>
        <bgColor rgb="FFD9E1F2"/>
      </patternFill>
    </fill>
  </fills>
  <borders count="9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medium">
        <color rgb="FF000000"/>
      </right>
      <top/>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theme="1" tint="4.9989318521683403E-2"/>
      </right>
      <top/>
      <bottom/>
      <diagonal/>
    </border>
    <border>
      <left style="medium">
        <color theme="1" tint="4.9989318521683403E-2"/>
      </left>
      <right style="medium">
        <color theme="1" tint="4.9989318521683403E-2"/>
      </right>
      <top/>
      <bottom style="medium">
        <color theme="1" tint="4.9989318521683403E-2"/>
      </bottom>
      <diagonal/>
    </border>
    <border>
      <left/>
      <right/>
      <top style="thin">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right/>
      <top/>
      <bottom style="medium">
        <color theme="1" tint="4.9989318521683403E-2"/>
      </bottom>
      <diagonal/>
    </border>
    <border>
      <left/>
      <right style="medium">
        <color theme="1" tint="4.9989318521683403E-2"/>
      </right>
      <top/>
      <bottom style="medium">
        <color theme="1" tint="4.9989318521683403E-2"/>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right style="medium">
        <color theme="1" tint="4.9989318521683403E-2"/>
      </right>
      <top/>
      <bottom/>
      <diagonal/>
    </border>
    <border>
      <left style="thin">
        <color theme="1" tint="4.9989318521683403E-2"/>
      </left>
      <right/>
      <top/>
      <bottom/>
      <diagonal/>
    </border>
    <border>
      <left/>
      <right style="thin">
        <color theme="1" tint="4.9989318521683403E-2"/>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theme="1" tint="4.9989318521683403E-2"/>
      </right>
      <top style="medium">
        <color theme="1" tint="4.9989318521683403E-2"/>
      </top>
      <bottom style="medium">
        <color rgb="FF000000"/>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4.9989318521683403E-2"/>
      </left>
      <right style="thin">
        <color theme="1" tint="4.9989318521683403E-2"/>
      </right>
      <top style="medium">
        <color indexed="64"/>
      </top>
      <bottom style="thin">
        <color theme="1" tint="4.9989318521683403E-2"/>
      </bottom>
      <diagonal/>
    </border>
    <border>
      <left style="thin">
        <color theme="1" tint="4.9989318521683403E-2"/>
      </left>
      <right style="medium">
        <color indexed="64"/>
      </right>
      <top style="medium">
        <color indexed="64"/>
      </top>
      <bottom style="thin">
        <color theme="1" tint="4.9989318521683403E-2"/>
      </bottom>
      <diagonal/>
    </border>
    <border>
      <left style="medium">
        <color indexed="64"/>
      </left>
      <right style="thin">
        <color theme="1" tint="4.9989318521683403E-2"/>
      </right>
      <top style="thin">
        <color indexed="64"/>
      </top>
      <bottom style="medium">
        <color indexed="64"/>
      </bottom>
      <diagonal/>
    </border>
    <border>
      <left style="thin">
        <color theme="1" tint="4.9989318521683403E-2"/>
      </left>
      <right style="thin">
        <color theme="1" tint="4.9989318521683403E-2"/>
      </right>
      <top style="thin">
        <color theme="1" tint="4.9989318521683403E-2"/>
      </top>
      <bottom style="medium">
        <color indexed="64"/>
      </bottom>
      <diagonal/>
    </border>
    <border>
      <left style="thin">
        <color theme="1" tint="4.9989318521683403E-2"/>
      </left>
      <right style="medium">
        <color indexed="64"/>
      </right>
      <top style="thin">
        <color theme="1" tint="4.9989318521683403E-2"/>
      </top>
      <bottom style="medium">
        <color indexed="64"/>
      </bottom>
      <diagonal/>
    </border>
    <border>
      <left style="thin">
        <color indexed="64"/>
      </left>
      <right style="medium">
        <color indexed="64"/>
      </right>
      <top style="medium">
        <color indexed="64"/>
      </top>
      <bottom style="thin">
        <color theme="1" tint="4.9989318521683403E-2"/>
      </bottom>
      <diagonal/>
    </border>
    <border>
      <left style="medium">
        <color indexed="64"/>
      </left>
      <right style="thin">
        <color theme="1" tint="4.9989318521683403E-2"/>
      </right>
      <top style="thin">
        <color theme="1" tint="4.9989318521683403E-2"/>
      </top>
      <bottom style="medium">
        <color indexed="64"/>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theme="1" tint="4.9989318521683403E-2"/>
      </left>
      <right style="thin">
        <color theme="1" tint="4.9989318521683403E-2"/>
      </right>
      <top/>
      <bottom style="thin">
        <color theme="1" tint="4.9989318521683403E-2"/>
      </bottom>
      <diagonal/>
    </border>
    <border>
      <left style="thin">
        <color theme="1" tint="4.9989318521683403E-2"/>
      </left>
      <right/>
      <top/>
      <bottom style="thin">
        <color theme="1" tint="4.9989318521683403E-2"/>
      </bottom>
      <diagonal/>
    </border>
  </borders>
  <cellStyleXfs count="4">
    <xf numFmtId="0" fontId="0" fillId="0" borderId="0"/>
    <xf numFmtId="0" fontId="12" fillId="0" borderId="0" applyNumberFormat="0" applyFill="0" applyBorder="0" applyAlignment="0" applyProtection="0"/>
    <xf numFmtId="43" fontId="39" fillId="0" borderId="0" applyFont="0" applyFill="0" applyBorder="0" applyAlignment="0" applyProtection="0"/>
    <xf numFmtId="9" fontId="39" fillId="0" borderId="0" applyFont="0" applyFill="0" applyBorder="0" applyAlignment="0" applyProtection="0"/>
  </cellStyleXfs>
  <cellXfs count="533">
    <xf numFmtId="0" fontId="0" fillId="0" borderId="0" xfId="0"/>
    <xf numFmtId="0" fontId="2" fillId="0" borderId="0" xfId="0" applyFont="1"/>
    <xf numFmtId="0" fontId="5" fillId="2" borderId="6" xfId="0" applyFont="1" applyFill="1" applyBorder="1" applyAlignment="1">
      <alignment horizontal="center" vertical="center" wrapText="1"/>
    </xf>
    <xf numFmtId="0" fontId="0" fillId="0" borderId="1" xfId="0" applyBorder="1" applyAlignment="1">
      <alignment vertical="center" wrapText="1"/>
    </xf>
    <xf numFmtId="0" fontId="5" fillId="2" borderId="4" xfId="0" applyFont="1" applyFill="1" applyBorder="1" applyAlignment="1">
      <alignment horizontal="center" vertical="center" wrapText="1"/>
    </xf>
    <xf numFmtId="0" fontId="0" fillId="0" borderId="4" xfId="0" applyBorder="1" applyAlignment="1">
      <alignment horizontal="center" vertical="center" wrapText="1"/>
    </xf>
    <xf numFmtId="0" fontId="5" fillId="6" borderId="8" xfId="0" applyFont="1" applyFill="1" applyBorder="1" applyAlignment="1">
      <alignment horizontal="center" vertical="center" wrapText="1"/>
    </xf>
    <xf numFmtId="0" fontId="0" fillId="0" borderId="0" xfId="0" applyAlignment="1">
      <alignment vertical="center"/>
    </xf>
    <xf numFmtId="0" fontId="12" fillId="0" borderId="8" xfId="1" applyBorder="1" applyAlignment="1">
      <alignment vertical="center" wrapText="1"/>
    </xf>
    <xf numFmtId="0" fontId="12" fillId="0" borderId="0" xfId="1" applyAlignment="1">
      <alignment vertical="center"/>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5" fillId="2" borderId="1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xf>
    <xf numFmtId="0" fontId="0" fillId="0" borderId="18" xfId="0" applyBorder="1" applyAlignment="1">
      <alignment vertical="center" wrapText="1"/>
    </xf>
    <xf numFmtId="0" fontId="0" fillId="0" borderId="18" xfId="0" applyBorder="1"/>
    <xf numFmtId="0" fontId="5" fillId="2" borderId="16" xfId="0" applyFont="1" applyFill="1" applyBorder="1" applyAlignment="1">
      <alignment horizontal="center" vertical="center"/>
    </xf>
    <xf numFmtId="0" fontId="0" fillId="0" borderId="18" xfId="0" applyBorder="1" applyAlignment="1">
      <alignment horizontal="center" vertical="center"/>
    </xf>
    <xf numFmtId="0" fontId="5" fillId="2" borderId="18" xfId="0" applyFont="1" applyFill="1" applyBorder="1" applyAlignment="1">
      <alignment horizontal="center" vertical="center" wrapText="1"/>
    </xf>
    <xf numFmtId="0" fontId="0" fillId="0" borderId="18" xfId="0" applyBorder="1" applyAlignment="1">
      <alignment vertical="center"/>
    </xf>
    <xf numFmtId="0" fontId="14" fillId="10" borderId="18" xfId="0" applyFont="1" applyFill="1" applyBorder="1" applyAlignment="1">
      <alignment horizontal="center" vertical="center" wrapText="1"/>
    </xf>
    <xf numFmtId="0" fontId="14" fillId="0" borderId="18" xfId="0" applyFont="1" applyBorder="1" applyAlignment="1">
      <alignment horizontal="justify" vertical="center" wrapText="1"/>
    </xf>
    <xf numFmtId="0" fontId="0" fillId="0" borderId="0" xfId="0" applyAlignment="1">
      <alignment vertical="center" wrapText="1"/>
    </xf>
    <xf numFmtId="0" fontId="0" fillId="0" borderId="18" xfId="0" applyBorder="1" applyAlignment="1">
      <alignment wrapText="1"/>
    </xf>
    <xf numFmtId="0" fontId="5" fillId="0" borderId="18" xfId="0" applyFont="1" applyBorder="1" applyAlignment="1">
      <alignment horizontal="right" vertical="center" wrapText="1"/>
    </xf>
    <xf numFmtId="0" fontId="9" fillId="0" borderId="14" xfId="0" applyFont="1" applyBorder="1" applyAlignment="1">
      <alignment horizontal="left" vertical="center" wrapText="1"/>
    </xf>
    <xf numFmtId="0" fontId="0" fillId="11" borderId="18" xfId="0" applyFill="1" applyBorder="1" applyAlignment="1">
      <alignment horizontal="left" vertical="center" wrapText="1"/>
    </xf>
    <xf numFmtId="0" fontId="17" fillId="0" borderId="0" xfId="0" applyFont="1"/>
    <xf numFmtId="0" fontId="18" fillId="0" borderId="0" xfId="0" applyFont="1"/>
    <xf numFmtId="0" fontId="19" fillId="0" borderId="0" xfId="0" applyFont="1"/>
    <xf numFmtId="0" fontId="18" fillId="0" borderId="0" xfId="0" applyFont="1" applyAlignment="1">
      <alignment wrapText="1"/>
    </xf>
    <xf numFmtId="0" fontId="16" fillId="0" borderId="0" xfId="0" applyFont="1" applyAlignment="1">
      <alignment horizontal="center" wrapText="1"/>
    </xf>
    <xf numFmtId="0" fontId="0" fillId="0" borderId="0" xfId="0" applyAlignment="1">
      <alignment horizontal="left" vertical="center"/>
    </xf>
    <xf numFmtId="0" fontId="0" fillId="0" borderId="28" xfId="0" applyBorder="1" applyAlignment="1">
      <alignment horizontal="left" vertical="center"/>
    </xf>
    <xf numFmtId="0" fontId="5" fillId="2" borderId="24" xfId="0" applyFont="1" applyFill="1" applyBorder="1" applyAlignment="1">
      <alignment horizontal="center" vertical="center" wrapText="1"/>
    </xf>
    <xf numFmtId="0" fontId="5" fillId="2" borderId="18" xfId="0" applyFont="1" applyFill="1" applyBorder="1" applyAlignment="1">
      <alignment horizontal="left" vertical="center" wrapText="1"/>
    </xf>
    <xf numFmtId="0" fontId="2" fillId="0" borderId="0" xfId="0" applyFont="1" applyAlignment="1">
      <alignment horizontal="left"/>
    </xf>
    <xf numFmtId="0" fontId="9" fillId="0" borderId="25" xfId="0" applyFont="1" applyBorder="1" applyAlignment="1">
      <alignment horizontal="center" vertical="center" wrapText="1"/>
    </xf>
    <xf numFmtId="0" fontId="0" fillId="0" borderId="0" xfId="0" quotePrefix="1"/>
    <xf numFmtId="0" fontId="0" fillId="0" borderId="0" xfId="0" applyAlignment="1">
      <alignment horizontal="left"/>
    </xf>
    <xf numFmtId="0" fontId="8" fillId="11" borderId="8" xfId="0" applyFont="1" applyFill="1" applyBorder="1" applyAlignment="1">
      <alignment vertical="center" wrapText="1"/>
    </xf>
    <xf numFmtId="0" fontId="8" fillId="11" borderId="9" xfId="0" applyFont="1" applyFill="1" applyBorder="1" applyAlignment="1">
      <alignment vertical="center" wrapText="1"/>
    </xf>
    <xf numFmtId="0" fontId="0" fillId="11" borderId="8" xfId="0" applyFill="1" applyBorder="1" applyAlignment="1">
      <alignment vertical="center" wrapText="1"/>
    </xf>
    <xf numFmtId="0" fontId="0" fillId="11" borderId="9" xfId="0" applyFill="1" applyBorder="1" applyAlignment="1">
      <alignment vertical="center" wrapText="1"/>
    </xf>
    <xf numFmtId="0" fontId="0" fillId="11" borderId="10" xfId="0" applyFill="1" applyBorder="1" applyAlignment="1">
      <alignment vertical="center" wrapText="1"/>
    </xf>
    <xf numFmtId="0" fontId="0" fillId="11" borderId="6" xfId="0" applyFill="1" applyBorder="1" applyAlignment="1">
      <alignment vertical="center" wrapText="1"/>
    </xf>
    <xf numFmtId="0" fontId="0" fillId="11" borderId="8" xfId="0" applyFill="1" applyBorder="1" applyAlignment="1">
      <alignment horizontal="left" vertical="center" wrapText="1"/>
    </xf>
    <xf numFmtId="0" fontId="12" fillId="11" borderId="8" xfId="1" applyFill="1" applyBorder="1" applyAlignment="1">
      <alignment vertical="center" wrapText="1"/>
    </xf>
    <xf numFmtId="0" fontId="0" fillId="0" borderId="0" xfId="0" applyAlignment="1">
      <alignment wrapText="1"/>
    </xf>
    <xf numFmtId="0" fontId="0" fillId="0" borderId="18" xfId="0" applyBorder="1" applyAlignment="1">
      <alignment horizontal="left" vertical="top" wrapText="1"/>
    </xf>
    <xf numFmtId="0" fontId="34" fillId="0" borderId="18" xfId="0" applyFont="1" applyBorder="1" applyAlignment="1">
      <alignment horizontal="left" vertical="center" wrapText="1"/>
    </xf>
    <xf numFmtId="0" fontId="34" fillId="0" borderId="18" xfId="0" applyFont="1" applyBorder="1" applyAlignment="1">
      <alignment horizontal="left" vertical="top" wrapText="1"/>
    </xf>
    <xf numFmtId="0" fontId="33" fillId="0" borderId="18" xfId="0" applyFont="1" applyBorder="1" applyAlignment="1">
      <alignment horizontal="left" vertical="top" wrapText="1"/>
    </xf>
    <xf numFmtId="0" fontId="0" fillId="0" borderId="18" xfId="0" applyBorder="1" applyAlignment="1">
      <alignment horizontal="left" vertical="center" wrapText="1"/>
    </xf>
    <xf numFmtId="0" fontId="0" fillId="0" borderId="18" xfId="0" applyBorder="1" applyAlignment="1">
      <alignment horizontal="center" vertical="center" wrapText="1"/>
    </xf>
    <xf numFmtId="0" fontId="35" fillId="0" borderId="18" xfId="0" applyFont="1" applyBorder="1" applyAlignment="1">
      <alignment horizontal="left" vertical="center" wrapText="1"/>
    </xf>
    <xf numFmtId="0" fontId="0" fillId="0" borderId="19" xfId="0" applyBorder="1" applyAlignment="1">
      <alignment horizontal="center" vertical="center" wrapText="1"/>
    </xf>
    <xf numFmtId="0" fontId="33"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44" xfId="0" applyBorder="1"/>
    <xf numFmtId="0" fontId="0" fillId="0" borderId="22" xfId="0" applyBorder="1"/>
    <xf numFmtId="0" fontId="0" fillId="0" borderId="46" xfId="0" applyBorder="1"/>
    <xf numFmtId="0" fontId="0" fillId="0" borderId="50" xfId="0" applyBorder="1"/>
    <xf numFmtId="0" fontId="6" fillId="0" borderId="46" xfId="0" applyFont="1" applyBorder="1" applyAlignment="1">
      <alignment horizontal="left" vertical="center" wrapText="1"/>
    </xf>
    <xf numFmtId="0" fontId="6" fillId="0" borderId="0" xfId="0" applyFont="1" applyAlignment="1">
      <alignment horizontal="left" vertical="center" wrapText="1"/>
    </xf>
    <xf numFmtId="0" fontId="0" fillId="11" borderId="0" xfId="0" applyFill="1" applyAlignment="1">
      <alignment horizontal="left" vertical="center" wrapText="1"/>
    </xf>
    <xf numFmtId="0" fontId="29" fillId="11" borderId="0" xfId="0" applyFont="1" applyFill="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22" fillId="0" borderId="52" xfId="0" applyFont="1" applyBorder="1" applyAlignment="1">
      <alignment vertical="center" wrapText="1"/>
    </xf>
    <xf numFmtId="0" fontId="22" fillId="0" borderId="52" xfId="0" applyFont="1" applyBorder="1" applyAlignment="1">
      <alignment horizontal="left" vertical="center" wrapText="1"/>
    </xf>
    <xf numFmtId="0" fontId="22" fillId="0" borderId="53" xfId="0" applyFont="1" applyBorder="1" applyAlignment="1">
      <alignment wrapText="1"/>
    </xf>
    <xf numFmtId="0" fontId="22" fillId="0" borderId="18" xfId="0" applyFont="1" applyBorder="1" applyAlignment="1">
      <alignment wrapText="1"/>
    </xf>
    <xf numFmtId="0" fontId="28" fillId="0" borderId="18" xfId="0" applyFont="1" applyBorder="1" applyAlignment="1">
      <alignment vertical="center" wrapText="1"/>
    </xf>
    <xf numFmtId="0" fontId="28" fillId="0" borderId="18" xfId="0" applyFont="1" applyBorder="1" applyAlignment="1">
      <alignment vertical="top" wrapText="1"/>
    </xf>
    <xf numFmtId="0" fontId="28" fillId="0" borderId="18" xfId="0" applyFont="1" applyBorder="1" applyAlignment="1">
      <alignment horizontal="left" vertical="top" wrapText="1"/>
    </xf>
    <xf numFmtId="0" fontId="0" fillId="11" borderId="20" xfId="0" applyFill="1" applyBorder="1" applyAlignment="1">
      <alignment horizontal="left" vertical="center" wrapText="1"/>
    </xf>
    <xf numFmtId="0" fontId="0" fillId="0" borderId="20" xfId="0" applyBorder="1" applyAlignment="1">
      <alignment wrapText="1"/>
    </xf>
    <xf numFmtId="0" fontId="0" fillId="11" borderId="20" xfId="0" applyFill="1" applyBorder="1" applyAlignment="1">
      <alignment vertical="center" wrapText="1"/>
    </xf>
    <xf numFmtId="0" fontId="0" fillId="0" borderId="20" xfId="0" applyBorder="1" applyAlignment="1">
      <alignment vertical="center"/>
    </xf>
    <xf numFmtId="0" fontId="0" fillId="0" borderId="20" xfId="0" applyBorder="1"/>
    <xf numFmtId="0" fontId="33" fillId="11" borderId="20" xfId="0" applyFont="1" applyFill="1" applyBorder="1" applyAlignment="1">
      <alignment vertical="center" wrapText="1"/>
    </xf>
    <xf numFmtId="0" fontId="33" fillId="11" borderId="20"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0" fillId="0" borderId="43" xfId="0" applyBorder="1"/>
    <xf numFmtId="0" fontId="0" fillId="11" borderId="21" xfId="0" applyFill="1" applyBorder="1" applyAlignment="1">
      <alignment horizontal="left" vertical="center" wrapText="1"/>
    </xf>
    <xf numFmtId="0" fontId="33" fillId="11" borderId="19" xfId="0" applyFont="1" applyFill="1" applyBorder="1" applyAlignment="1">
      <alignment horizontal="left" vertical="center" wrapText="1"/>
    </xf>
    <xf numFmtId="0" fontId="0" fillId="0" borderId="18" xfId="0" applyBorder="1" applyAlignment="1">
      <alignment horizontal="left" vertical="center"/>
    </xf>
    <xf numFmtId="0" fontId="0" fillId="0" borderId="43" xfId="0" applyBorder="1" applyAlignment="1">
      <alignment horizontal="center" vertical="center" wrapText="1"/>
    </xf>
    <xf numFmtId="0" fontId="0" fillId="0" borderId="43" xfId="0" applyBorder="1" applyAlignment="1">
      <alignment horizontal="center" vertical="center"/>
    </xf>
    <xf numFmtId="0" fontId="0" fillId="11" borderId="18" xfId="0" applyFill="1" applyBorder="1" applyAlignment="1">
      <alignment vertical="top" wrapText="1"/>
    </xf>
    <xf numFmtId="0" fontId="8" fillId="11" borderId="18" xfId="0" applyFont="1" applyFill="1" applyBorder="1" applyAlignment="1">
      <alignment horizontal="left" vertical="top" wrapText="1"/>
    </xf>
    <xf numFmtId="0" fontId="33" fillId="11" borderId="18" xfId="0" applyFont="1" applyFill="1" applyBorder="1" applyAlignment="1">
      <alignment vertical="center" wrapText="1"/>
    </xf>
    <xf numFmtId="0" fontId="0" fillId="11" borderId="18" xfId="0" applyFill="1" applyBorder="1" applyAlignment="1">
      <alignment horizontal="left" vertical="center"/>
    </xf>
    <xf numFmtId="0" fontId="8" fillId="11" borderId="56" xfId="0" applyFont="1" applyFill="1" applyBorder="1" applyAlignment="1">
      <alignment horizontal="left" vertical="top" wrapText="1"/>
    </xf>
    <xf numFmtId="0" fontId="33" fillId="11" borderId="56" xfId="0" applyFont="1" applyFill="1" applyBorder="1" applyAlignment="1">
      <alignment vertical="center" wrapText="1"/>
    </xf>
    <xf numFmtId="0" fontId="0" fillId="11" borderId="56" xfId="0" applyFill="1" applyBorder="1" applyAlignment="1">
      <alignment horizontal="left" vertical="center" wrapText="1"/>
    </xf>
    <xf numFmtId="0" fontId="5" fillId="6" borderId="18" xfId="0" applyFont="1" applyFill="1" applyBorder="1" applyAlignment="1">
      <alignment horizontal="center" vertical="center" wrapText="1"/>
    </xf>
    <xf numFmtId="0" fontId="33" fillId="11" borderId="18" xfId="0" applyFont="1" applyFill="1" applyBorder="1" applyAlignment="1">
      <alignment horizontal="left" vertical="center" wrapText="1"/>
    </xf>
    <xf numFmtId="0" fontId="5" fillId="6" borderId="16" xfId="0" applyFont="1" applyFill="1" applyBorder="1" applyAlignment="1">
      <alignment horizontal="center" vertical="center" wrapText="1"/>
    </xf>
    <xf numFmtId="0" fontId="0" fillId="0" borderId="40" xfId="0" applyBorder="1"/>
    <xf numFmtId="0" fontId="0" fillId="0" borderId="22" xfId="0" applyBorder="1" applyAlignment="1">
      <alignment vertical="center"/>
    </xf>
    <xf numFmtId="0" fontId="0" fillId="0" borderId="40" xfId="0" applyBorder="1" applyAlignment="1">
      <alignment vertical="center"/>
    </xf>
    <xf numFmtId="0" fontId="0" fillId="0" borderId="41" xfId="0" applyBorder="1"/>
    <xf numFmtId="0" fontId="0" fillId="0" borderId="41" xfId="0" applyBorder="1" applyAlignment="1">
      <alignment vertical="center"/>
    </xf>
    <xf numFmtId="0" fontId="0" fillId="0" borderId="56" xfId="0" applyBorder="1" applyAlignment="1">
      <alignment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vertical="center"/>
    </xf>
    <xf numFmtId="0" fontId="0" fillId="0" borderId="41" xfId="0" applyBorder="1" applyAlignment="1">
      <alignment horizontal="center" vertical="center"/>
    </xf>
    <xf numFmtId="0" fontId="0" fillId="0" borderId="39" xfId="0" applyBorder="1"/>
    <xf numFmtId="0" fontId="0" fillId="12" borderId="18" xfId="0" applyFill="1" applyBorder="1" applyAlignment="1">
      <alignment horizontal="center" vertical="center"/>
    </xf>
    <xf numFmtId="0" fontId="0" fillId="12" borderId="18" xfId="0" applyFill="1" applyBorder="1" applyAlignment="1">
      <alignment vertical="top" wrapText="1"/>
    </xf>
    <xf numFmtId="0" fontId="8" fillId="12" borderId="18" xfId="0" applyFont="1" applyFill="1" applyBorder="1" applyAlignment="1">
      <alignment horizontal="left" vertical="top" wrapText="1"/>
    </xf>
    <xf numFmtId="0" fontId="0" fillId="12" borderId="18" xfId="0" applyFill="1" applyBorder="1" applyAlignment="1">
      <alignment vertical="center" wrapText="1"/>
    </xf>
    <xf numFmtId="0" fontId="33" fillId="12" borderId="18" xfId="0" applyFont="1" applyFill="1" applyBorder="1" applyAlignment="1">
      <alignment horizontal="left" vertical="center" wrapText="1"/>
    </xf>
    <xf numFmtId="0" fontId="0" fillId="12" borderId="18" xfId="0" applyFill="1" applyBorder="1" applyAlignment="1">
      <alignment horizontal="left" vertical="center" wrapText="1"/>
    </xf>
    <xf numFmtId="0" fontId="0" fillId="12" borderId="0" xfId="0" applyFill="1" applyAlignment="1">
      <alignment vertical="center"/>
    </xf>
    <xf numFmtId="0" fontId="0" fillId="12" borderId="18" xfId="0" applyFill="1" applyBorder="1" applyAlignment="1">
      <alignment horizontal="left" vertical="center"/>
    </xf>
    <xf numFmtId="0" fontId="33" fillId="12" borderId="18" xfId="0" applyFont="1" applyFill="1" applyBorder="1" applyAlignment="1">
      <alignment vertical="center" wrapText="1"/>
    </xf>
    <xf numFmtId="0" fontId="0" fillId="12" borderId="0" xfId="0" applyFill="1"/>
    <xf numFmtId="0" fontId="33" fillId="4" borderId="9"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4" borderId="9" xfId="0" applyFont="1" applyFill="1" applyBorder="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33" fillId="0" borderId="6" xfId="0" applyFont="1" applyBorder="1" applyAlignment="1">
      <alignment horizontal="left" vertical="top" wrapText="1"/>
    </xf>
    <xf numFmtId="0" fontId="33" fillId="0" borderId="9" xfId="0" applyFont="1" applyBorder="1" applyAlignment="1">
      <alignment horizontal="left" vertical="top" wrapText="1"/>
    </xf>
    <xf numFmtId="0" fontId="33" fillId="4" borderId="9" xfId="0" applyFont="1" applyFill="1" applyBorder="1" applyAlignment="1">
      <alignment horizontal="left" vertical="center" wrapText="1"/>
    </xf>
    <xf numFmtId="0" fontId="0" fillId="0" borderId="23" xfId="0" applyBorder="1" applyAlignment="1">
      <alignment horizontal="center" vertical="center" wrapText="1"/>
    </xf>
    <xf numFmtId="0" fontId="5" fillId="11" borderId="18" xfId="0" applyFont="1" applyFill="1" applyBorder="1" applyAlignment="1">
      <alignment horizontal="center" vertical="center" wrapText="1"/>
    </xf>
    <xf numFmtId="0" fontId="0" fillId="18" borderId="0" xfId="0" applyFill="1" applyAlignment="1">
      <alignment vertical="center"/>
    </xf>
    <xf numFmtId="0" fontId="0" fillId="0" borderId="60"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3" xfId="0" applyBorder="1" applyAlignment="1">
      <alignment horizontal="center" vertical="center"/>
    </xf>
    <xf numFmtId="9" fontId="28" fillId="0" borderId="63" xfId="3" applyFont="1" applyBorder="1" applyAlignment="1">
      <alignment horizontal="center" vertical="center" wrapText="1"/>
    </xf>
    <xf numFmtId="0" fontId="28" fillId="0" borderId="60" xfId="0" applyFont="1" applyBorder="1" applyAlignment="1">
      <alignment vertical="center" wrapText="1"/>
    </xf>
    <xf numFmtId="0" fontId="40" fillId="0" borderId="67" xfId="0" applyFont="1" applyBorder="1" applyAlignment="1">
      <alignment vertical="center"/>
    </xf>
    <xf numFmtId="0" fontId="28" fillId="0" borderId="63" xfId="0" applyFont="1" applyBorder="1" applyAlignment="1">
      <alignment horizontal="center" vertical="center"/>
    </xf>
    <xf numFmtId="0" fontId="0" fillId="0" borderId="71" xfId="0" applyBorder="1" applyAlignment="1">
      <alignment vertical="center" wrapText="1"/>
    </xf>
    <xf numFmtId="0" fontId="28" fillId="0" borderId="62" xfId="0" applyFont="1" applyBorder="1" applyAlignment="1">
      <alignment vertical="top" wrapText="1"/>
    </xf>
    <xf numFmtId="0" fontId="28" fillId="0" borderId="63" xfId="0" applyFont="1" applyBorder="1" applyAlignment="1">
      <alignment horizontal="center" vertical="center" wrapText="1"/>
    </xf>
    <xf numFmtId="0" fontId="0" fillId="0" borderId="19" xfId="0" applyBorder="1"/>
    <xf numFmtId="0" fontId="28" fillId="0" borderId="72" xfId="0" applyFont="1" applyBorder="1" applyAlignment="1">
      <alignment vertical="center" wrapText="1"/>
    </xf>
    <xf numFmtId="0" fontId="28" fillId="0" borderId="18" xfId="0" applyFont="1" applyBorder="1" applyAlignment="1">
      <alignment horizontal="left" vertical="center" wrapText="1"/>
    </xf>
    <xf numFmtId="0" fontId="0" fillId="0" borderId="18" xfId="0" applyBorder="1" applyAlignment="1">
      <alignment horizontal="center" wrapText="1"/>
    </xf>
    <xf numFmtId="0" fontId="0" fillId="0" borderId="23" xfId="0" applyBorder="1" applyAlignment="1">
      <alignment horizontal="left" vertical="center" wrapText="1"/>
    </xf>
    <xf numFmtId="0" fontId="0" fillId="0" borderId="18" xfId="0" applyBorder="1" applyAlignment="1">
      <alignment horizontal="center"/>
    </xf>
    <xf numFmtId="0" fontId="0" fillId="0" borderId="23" xfId="0" applyBorder="1"/>
    <xf numFmtId="0" fontId="0" fillId="0" borderId="19" xfId="0" applyBorder="1" applyAlignment="1">
      <alignment vertical="center"/>
    </xf>
    <xf numFmtId="0" fontId="0" fillId="0" borderId="23" xfId="0" applyBorder="1" applyAlignment="1">
      <alignment vertical="center"/>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43" fillId="19" borderId="17" xfId="0" applyFont="1" applyFill="1" applyBorder="1" applyAlignment="1">
      <alignment horizontal="center" vertical="center" wrapText="1"/>
    </xf>
    <xf numFmtId="0" fontId="43" fillId="19" borderId="76" xfId="0" applyFont="1" applyFill="1" applyBorder="1" applyAlignment="1">
      <alignment horizontal="center" vertical="center" wrapText="1"/>
    </xf>
    <xf numFmtId="0" fontId="0" fillId="0" borderId="76" xfId="0" applyBorder="1" applyAlignment="1">
      <alignment horizontal="center" vertical="center"/>
    </xf>
    <xf numFmtId="4" fontId="8" fillId="0" borderId="76" xfId="0" applyNumberFormat="1" applyFont="1" applyBorder="1" applyAlignment="1">
      <alignment vertical="center"/>
    </xf>
    <xf numFmtId="4" fontId="8" fillId="0" borderId="77" xfId="0" applyNumberFormat="1" applyFont="1" applyBorder="1" applyAlignment="1">
      <alignment vertical="center"/>
    </xf>
    <xf numFmtId="4" fontId="0" fillId="0" borderId="76" xfId="0" applyNumberFormat="1" applyBorder="1" applyAlignment="1">
      <alignment vertical="center"/>
    </xf>
    <xf numFmtId="2" fontId="0" fillId="0" borderId="76" xfId="0" applyNumberFormat="1" applyBorder="1" applyAlignment="1">
      <alignment horizontal="right" vertical="center"/>
    </xf>
    <xf numFmtId="4" fontId="0" fillId="0" borderId="76" xfId="0" applyNumberFormat="1" applyBorder="1" applyAlignment="1">
      <alignment horizontal="right" vertical="center"/>
    </xf>
    <xf numFmtId="4" fontId="0" fillId="0" borderId="77" xfId="0" applyNumberFormat="1" applyBorder="1" applyAlignment="1">
      <alignment vertical="center"/>
    </xf>
    <xf numFmtId="0" fontId="28" fillId="0" borderId="60" xfId="0" applyFont="1" applyBorder="1" applyAlignment="1">
      <alignment horizontal="center" vertical="center" wrapText="1"/>
    </xf>
    <xf numFmtId="0" fontId="28" fillId="0" borderId="60" xfId="0" applyFont="1" applyBorder="1" applyAlignment="1">
      <alignment horizontal="center" vertical="top" wrapText="1"/>
    </xf>
    <xf numFmtId="0" fontId="28" fillId="0" borderId="59" xfId="0" applyFont="1" applyBorder="1" applyAlignment="1">
      <alignment vertical="center" wrapText="1"/>
    </xf>
    <xf numFmtId="0" fontId="6" fillId="0" borderId="18" xfId="0" applyFont="1" applyBorder="1" applyAlignment="1">
      <alignment horizontal="center" vertical="center" wrapText="1"/>
    </xf>
    <xf numFmtId="2" fontId="0" fillId="0" borderId="76" xfId="0" applyNumberFormat="1" applyBorder="1" applyAlignment="1">
      <alignment vertical="center"/>
    </xf>
    <xf numFmtId="2" fontId="0" fillId="0" borderId="77" xfId="0" applyNumberFormat="1" applyBorder="1" applyAlignment="1">
      <alignment vertical="center"/>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18" xfId="0" applyBorder="1" applyAlignment="1">
      <alignment horizontal="left" vertical="center" wrapText="1"/>
    </xf>
    <xf numFmtId="0" fontId="33" fillId="11" borderId="18" xfId="0" applyFont="1" applyFill="1" applyBorder="1" applyAlignment="1">
      <alignment horizontal="left" vertical="top" wrapText="1"/>
    </xf>
    <xf numFmtId="0" fontId="28" fillId="0" borderId="65" xfId="0" applyFont="1" applyBorder="1" applyAlignment="1">
      <alignment horizontal="center" vertical="center"/>
    </xf>
    <xf numFmtId="43" fontId="28" fillId="0" borderId="60" xfId="2" applyFont="1" applyBorder="1" applyAlignment="1">
      <alignment horizontal="right" vertical="center"/>
    </xf>
    <xf numFmtId="9" fontId="28" fillId="0" borderId="68" xfId="3" applyFont="1" applyBorder="1" applyAlignment="1">
      <alignment horizontal="center" vertical="center"/>
    </xf>
    <xf numFmtId="43" fontId="28" fillId="0" borderId="60" xfId="2" applyFont="1" applyBorder="1" applyAlignment="1">
      <alignment horizontal="center" vertical="center"/>
    </xf>
    <xf numFmtId="165" fontId="28" fillId="0" borderId="65" xfId="2" applyNumberFormat="1" applyFont="1" applyBorder="1" applyAlignment="1">
      <alignment horizontal="center" vertical="center"/>
    </xf>
    <xf numFmtId="9" fontId="28" fillId="0" borderId="65" xfId="3" applyFont="1" applyBorder="1" applyAlignment="1">
      <alignment horizontal="center" vertical="center"/>
    </xf>
    <xf numFmtId="9" fontId="28" fillId="11" borderId="65" xfId="3" applyFont="1" applyFill="1" applyBorder="1" applyAlignment="1">
      <alignment horizontal="center" vertical="center"/>
    </xf>
    <xf numFmtId="10" fontId="28" fillId="0" borderId="65" xfId="3" applyNumberFormat="1" applyFont="1" applyBorder="1" applyAlignment="1">
      <alignment horizontal="center" vertical="center"/>
    </xf>
    <xf numFmtId="9" fontId="28" fillId="0" borderId="64" xfId="3" applyFont="1" applyBorder="1" applyAlignment="1">
      <alignment horizontal="center" vertical="center" wrapText="1"/>
    </xf>
    <xf numFmtId="0" fontId="28" fillId="0" borderId="66" xfId="0" applyFont="1" applyBorder="1" applyAlignment="1">
      <alignment horizontal="center" vertical="center"/>
    </xf>
    <xf numFmtId="9" fontId="28" fillId="0" borderId="69" xfId="3" applyFont="1" applyBorder="1" applyAlignment="1">
      <alignment horizontal="center" vertical="center"/>
    </xf>
    <xf numFmtId="43" fontId="28" fillId="0" borderId="70" xfId="2" applyFont="1" applyBorder="1" applyAlignment="1">
      <alignment horizontal="center" vertical="center"/>
    </xf>
    <xf numFmtId="164" fontId="28" fillId="0" borderId="68" xfId="3" applyNumberFormat="1" applyFont="1" applyBorder="1" applyAlignment="1">
      <alignment horizontal="center" vertical="center"/>
    </xf>
    <xf numFmtId="10" fontId="0" fillId="0" borderId="69" xfId="3" applyNumberFormat="1" applyFont="1" applyBorder="1" applyAlignment="1">
      <alignment horizontal="center" vertical="center"/>
    </xf>
    <xf numFmtId="9" fontId="0" fillId="0" borderId="66" xfId="3" applyFont="1" applyBorder="1" applyAlignment="1">
      <alignment horizontal="center" vertical="center"/>
    </xf>
    <xf numFmtId="10" fontId="0" fillId="0" borderId="66" xfId="3" applyNumberFormat="1" applyFont="1" applyBorder="1" applyAlignment="1">
      <alignment horizontal="center" vertical="center"/>
    </xf>
    <xf numFmtId="9" fontId="0" fillId="0" borderId="69" xfId="3" applyFont="1" applyBorder="1" applyAlignment="1">
      <alignment horizontal="center" vertical="center"/>
    </xf>
    <xf numFmtId="9" fontId="0" fillId="11" borderId="66" xfId="3" applyFont="1" applyFill="1" applyBorder="1" applyAlignment="1">
      <alignment horizontal="center" vertical="center"/>
    </xf>
    <xf numFmtId="165" fontId="28" fillId="0" borderId="65" xfId="2" applyNumberFormat="1" applyFont="1" applyBorder="1" applyAlignment="1">
      <alignment vertical="center"/>
    </xf>
    <xf numFmtId="9" fontId="0" fillId="0" borderId="66" xfId="3" applyFont="1" applyBorder="1" applyAlignment="1">
      <alignment vertical="center"/>
    </xf>
    <xf numFmtId="0" fontId="33" fillId="0" borderId="18" xfId="0" applyFont="1" applyBorder="1" applyAlignment="1">
      <alignment horizontal="center" vertical="center" wrapText="1"/>
    </xf>
    <xf numFmtId="0" fontId="0" fillId="0" borderId="0" xfId="0" applyFont="1" applyAlignment="1">
      <alignment horizontal="center" vertical="center" wrapText="1"/>
    </xf>
    <xf numFmtId="0" fontId="0" fillId="0" borderId="18" xfId="0" applyFont="1" applyBorder="1" applyAlignment="1">
      <alignment horizontal="left" vertical="center" wrapText="1"/>
    </xf>
    <xf numFmtId="0" fontId="26" fillId="0" borderId="42" xfId="0" applyFont="1" applyBorder="1" applyAlignment="1">
      <alignment horizontal="center" vertical="center" wrapText="1"/>
    </xf>
    <xf numFmtId="0" fontId="26" fillId="0" borderId="32" xfId="0" applyFont="1" applyBorder="1" applyAlignment="1">
      <alignment horizontal="center" vertical="center" wrapText="1"/>
    </xf>
    <xf numFmtId="0" fontId="0" fillId="0" borderId="59" xfId="0" applyFont="1" applyBorder="1" applyAlignment="1">
      <alignment vertical="center" wrapText="1"/>
    </xf>
    <xf numFmtId="0" fontId="33" fillId="0" borderId="18" xfId="0" applyFont="1" applyBorder="1" applyAlignment="1">
      <alignment horizontal="justify" vertical="center" wrapText="1"/>
    </xf>
    <xf numFmtId="0" fontId="0" fillId="0" borderId="22" xfId="0" applyBorder="1" applyAlignment="1">
      <alignment horizontal="center" wrapText="1"/>
    </xf>
    <xf numFmtId="0" fontId="13" fillId="0" borderId="18" xfId="0" applyFon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vertical="center" wrapText="1"/>
    </xf>
    <xf numFmtId="0" fontId="5" fillId="2" borderId="18" xfId="0" applyFont="1" applyFill="1" applyBorder="1" applyAlignment="1">
      <alignment horizontal="center" vertical="center" wrapText="1"/>
    </xf>
    <xf numFmtId="0" fontId="0" fillId="0" borderId="19" xfId="0" applyBorder="1" applyAlignment="1">
      <alignment horizontal="center" vertical="center"/>
    </xf>
    <xf numFmtId="0" fontId="8" fillId="9" borderId="18"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0" fillId="20" borderId="0" xfId="0" applyFill="1"/>
    <xf numFmtId="0" fontId="33" fillId="11" borderId="2" xfId="0" applyFont="1" applyFill="1" applyBorder="1" applyAlignment="1">
      <alignment horizontal="left" vertical="center" wrapText="1"/>
    </xf>
    <xf numFmtId="0" fontId="0" fillId="0" borderId="0" xfId="0" applyAlignment="1">
      <alignment horizontal="center"/>
    </xf>
    <xf numFmtId="0" fontId="5" fillId="2" borderId="18" xfId="0" applyFont="1" applyFill="1" applyBorder="1" applyAlignment="1">
      <alignment horizontal="center" vertical="center" wrapText="1"/>
    </xf>
    <xf numFmtId="0" fontId="47" fillId="19" borderId="73" xfId="0" applyFont="1" applyFill="1" applyBorder="1" applyAlignment="1">
      <alignment horizontal="center" vertical="center" wrapText="1"/>
    </xf>
    <xf numFmtId="0" fontId="46" fillId="19" borderId="0" xfId="0" applyFont="1" applyFill="1" applyBorder="1" applyAlignment="1">
      <alignment horizontal="center" vertical="center" wrapText="1"/>
    </xf>
    <xf numFmtId="0" fontId="46" fillId="19" borderId="87" xfId="0" applyFont="1" applyFill="1" applyBorder="1" applyAlignment="1">
      <alignment horizontal="center" vertical="center" wrapText="1"/>
    </xf>
    <xf numFmtId="1" fontId="13" fillId="0" borderId="18" xfId="0" applyNumberFormat="1" applyFont="1" applyBorder="1" applyAlignment="1">
      <alignment horizontal="center" vertical="center" wrapText="1"/>
    </xf>
    <xf numFmtId="166" fontId="33" fillId="0" borderId="18" xfId="0" applyNumberFormat="1" applyFont="1" applyBorder="1" applyAlignment="1">
      <alignment horizontal="center" vertical="center" wrapText="1"/>
    </xf>
    <xf numFmtId="166" fontId="0" fillId="0" borderId="0" xfId="0" applyNumberFormat="1"/>
    <xf numFmtId="166" fontId="0" fillId="0" borderId="18" xfId="0" applyNumberFormat="1" applyBorder="1" applyAlignment="1">
      <alignment horizontal="center" vertical="center"/>
    </xf>
    <xf numFmtId="166" fontId="34" fillId="0" borderId="18" xfId="0" applyNumberFormat="1" applyFont="1" applyBorder="1" applyAlignment="1">
      <alignment horizontal="center" vertical="center" wrapText="1"/>
    </xf>
    <xf numFmtId="0" fontId="0" fillId="0" borderId="19" xfId="0" applyBorder="1" applyAlignment="1">
      <alignment wrapText="1"/>
    </xf>
    <xf numFmtId="166" fontId="0" fillId="0" borderId="19" xfId="0" applyNumberFormat="1" applyBorder="1" applyAlignment="1">
      <alignment horizontal="center" vertical="center"/>
    </xf>
    <xf numFmtId="166" fontId="33" fillId="0" borderId="19" xfId="0" applyNumberFormat="1" applyFont="1" applyBorder="1" applyAlignment="1">
      <alignment horizontal="center" vertical="center" wrapText="1"/>
    </xf>
    <xf numFmtId="1" fontId="13" fillId="0" borderId="19" xfId="0" applyNumberFormat="1" applyFont="1" applyBorder="1" applyAlignment="1">
      <alignment horizontal="center" vertical="center"/>
    </xf>
    <xf numFmtId="0" fontId="8" fillId="4" borderId="18" xfId="0" applyFont="1" applyFill="1" applyBorder="1" applyAlignment="1">
      <alignment vertical="center" wrapText="1"/>
    </xf>
    <xf numFmtId="0" fontId="0" fillId="11" borderId="18" xfId="0" applyFill="1" applyBorder="1" applyAlignment="1">
      <alignment vertical="center" wrapText="1"/>
    </xf>
    <xf numFmtId="0" fontId="0" fillId="0" borderId="18" xfId="0" applyFill="1" applyBorder="1" applyAlignment="1">
      <alignment horizontal="center" vertical="center" wrapText="1"/>
    </xf>
    <xf numFmtId="165" fontId="0" fillId="0" borderId="18" xfId="2" applyNumberFormat="1" applyFont="1" applyBorder="1" applyAlignment="1">
      <alignment horizontal="left" vertical="center"/>
    </xf>
    <xf numFmtId="43" fontId="0" fillId="0" borderId="18" xfId="2" applyFont="1" applyBorder="1" applyAlignment="1">
      <alignment horizontal="center" vertical="center"/>
    </xf>
    <xf numFmtId="165" fontId="0" fillId="0" borderId="18" xfId="2" applyNumberFormat="1" applyFont="1" applyBorder="1" applyAlignment="1">
      <alignment horizontal="center" vertical="center"/>
    </xf>
    <xf numFmtId="9" fontId="0" fillId="0" borderId="18" xfId="3" applyFont="1" applyBorder="1" applyAlignment="1">
      <alignment horizontal="center" vertical="center"/>
    </xf>
    <xf numFmtId="9" fontId="0" fillId="11" borderId="65" xfId="3" applyFont="1" applyFill="1" applyBorder="1" applyAlignment="1">
      <alignment horizontal="center" vertical="center"/>
    </xf>
    <xf numFmtId="0" fontId="14" fillId="0" borderId="18" xfId="0" applyFont="1" applyBorder="1" applyAlignment="1">
      <alignment horizontal="justify" vertical="center"/>
    </xf>
    <xf numFmtId="43" fontId="13" fillId="0" borderId="18" xfId="2" applyFont="1" applyBorder="1" applyAlignment="1">
      <alignment horizontal="justify" vertical="center" wrapText="1"/>
    </xf>
    <xf numFmtId="167" fontId="13" fillId="0" borderId="18" xfId="2" applyNumberFormat="1" applyFont="1" applyBorder="1" applyAlignment="1">
      <alignment horizontal="justify" vertical="center" wrapText="1"/>
    </xf>
    <xf numFmtId="167" fontId="0" fillId="0" borderId="18" xfId="0" applyNumberFormat="1" applyBorder="1"/>
    <xf numFmtId="0" fontId="1" fillId="0" borderId="0" xfId="0" applyFont="1" applyBorder="1" applyAlignment="1">
      <alignment horizontal="right"/>
    </xf>
    <xf numFmtId="167" fontId="0" fillId="0" borderId="0" xfId="0" applyNumberFormat="1" applyBorder="1"/>
    <xf numFmtId="9" fontId="13" fillId="0" borderId="18" xfId="3" applyFont="1" applyBorder="1" applyAlignment="1">
      <alignment horizontal="right" vertical="center" wrapText="1"/>
    </xf>
    <xf numFmtId="0" fontId="0" fillId="0" borderId="0" xfId="0" applyBorder="1"/>
    <xf numFmtId="43" fontId="13" fillId="0" borderId="18" xfId="2" applyFont="1" applyBorder="1" applyAlignment="1">
      <alignment horizontal="right" vertical="center" wrapText="1"/>
    </xf>
    <xf numFmtId="168" fontId="14" fillId="0" borderId="18" xfId="0" applyNumberFormat="1" applyFont="1" applyBorder="1" applyAlignment="1">
      <alignment horizontal="justify" vertical="center"/>
    </xf>
    <xf numFmtId="167" fontId="0" fillId="0" borderId="0" xfId="0" applyNumberFormat="1"/>
    <xf numFmtId="167" fontId="33" fillId="0" borderId="18" xfId="0" applyNumberFormat="1" applyFont="1" applyBorder="1"/>
    <xf numFmtId="167" fontId="49" fillId="0" borderId="18" xfId="0" applyNumberFormat="1" applyFont="1" applyBorder="1"/>
    <xf numFmtId="0" fontId="26" fillId="0" borderId="18" xfId="0" applyFont="1" applyBorder="1" applyAlignment="1">
      <alignment wrapText="1"/>
    </xf>
    <xf numFmtId="0" fontId="52" fillId="4" borderId="18" xfId="0" applyFont="1" applyFill="1" applyBorder="1" applyAlignment="1">
      <alignment horizontal="center" vertical="top" wrapText="1"/>
    </xf>
    <xf numFmtId="0" fontId="53" fillId="11" borderId="18" xfId="0" applyFont="1" applyFill="1" applyBorder="1" applyAlignment="1">
      <alignment horizontal="center" vertical="center" wrapText="1"/>
    </xf>
    <xf numFmtId="43" fontId="26" fillId="0" borderId="18" xfId="2" applyFont="1" applyBorder="1" applyAlignment="1">
      <alignment horizontal="center" vertical="center"/>
    </xf>
    <xf numFmtId="43" fontId="26" fillId="0" borderId="18" xfId="2" applyFont="1" applyBorder="1" applyAlignment="1">
      <alignment horizontal="right" vertical="center"/>
    </xf>
    <xf numFmtId="0" fontId="54" fillId="0" borderId="18" xfId="0" applyFont="1" applyBorder="1" applyAlignment="1">
      <alignment horizontal="right" vertical="center" wrapText="1"/>
    </xf>
    <xf numFmtId="0" fontId="52" fillId="4" borderId="43" xfId="0" applyFont="1" applyFill="1" applyBorder="1" applyAlignment="1">
      <alignment horizontal="center" vertical="center" wrapText="1"/>
    </xf>
    <xf numFmtId="0" fontId="26" fillId="0" borderId="18" xfId="0" applyFont="1" applyBorder="1" applyAlignment="1">
      <alignment horizontal="center" vertical="center" wrapText="1"/>
    </xf>
    <xf numFmtId="165" fontId="26" fillId="0" borderId="18" xfId="2" applyNumberFormat="1" applyFont="1" applyBorder="1" applyAlignment="1">
      <alignment horizontal="center" vertical="center"/>
    </xf>
    <xf numFmtId="0" fontId="26" fillId="0" borderId="18" xfId="0" applyFont="1" applyBorder="1"/>
    <xf numFmtId="0" fontId="55" fillId="4" borderId="18" xfId="0" applyFont="1" applyFill="1" applyBorder="1" applyAlignment="1">
      <alignment horizontal="center" vertical="center" wrapText="1"/>
    </xf>
    <xf numFmtId="0" fontId="52" fillId="11" borderId="19" xfId="0" applyFont="1" applyFill="1" applyBorder="1" applyAlignment="1">
      <alignment horizontal="center" vertical="center" wrapText="1"/>
    </xf>
    <xf numFmtId="0" fontId="26" fillId="0" borderId="19" xfId="0" applyFont="1" applyBorder="1" applyAlignment="1">
      <alignment horizontal="center" vertical="center"/>
    </xf>
    <xf numFmtId="0" fontId="52" fillId="4" borderId="18" xfId="0" applyFont="1" applyFill="1" applyBorder="1" applyAlignment="1">
      <alignment horizontal="center" vertical="center" wrapText="1"/>
    </xf>
    <xf numFmtId="9" fontId="26" fillId="0" borderId="18" xfId="3" applyFont="1" applyBorder="1" applyAlignment="1">
      <alignment horizontal="center" vertical="center"/>
    </xf>
    <xf numFmtId="0" fontId="52" fillId="0" borderId="18" xfId="0" applyFont="1" applyBorder="1" applyAlignment="1">
      <alignment horizontal="center" vertical="center" wrapText="1"/>
    </xf>
    <xf numFmtId="0" fontId="52" fillId="11" borderId="18" xfId="0" applyFont="1" applyFill="1" applyBorder="1" applyAlignment="1">
      <alignment horizontal="center" vertical="center" wrapText="1"/>
    </xf>
    <xf numFmtId="0" fontId="47" fillId="0" borderId="87" xfId="0" applyFont="1" applyBorder="1" applyAlignment="1">
      <alignment horizontal="center" vertical="center" wrapText="1"/>
    </xf>
    <xf numFmtId="9" fontId="26" fillId="11" borderId="90" xfId="3" applyFont="1" applyFill="1" applyBorder="1" applyAlignment="1">
      <alignment horizontal="center" vertical="center"/>
    </xf>
    <xf numFmtId="9" fontId="26" fillId="11" borderId="91" xfId="3" applyFont="1" applyFill="1" applyBorder="1" applyAlignment="1">
      <alignment horizontal="center" vertical="center"/>
    </xf>
    <xf numFmtId="0" fontId="5" fillId="2" borderId="18" xfId="0" applyFont="1" applyFill="1" applyBorder="1" applyAlignment="1">
      <alignment horizontal="center" vertical="center" wrapText="1"/>
    </xf>
    <xf numFmtId="0" fontId="33" fillId="0" borderId="19" xfId="0" applyFont="1" applyBorder="1" applyAlignment="1">
      <alignment horizontal="left" vertical="center" wrapText="1"/>
    </xf>
    <xf numFmtId="0" fontId="33" fillId="0" borderId="23" xfId="0" applyFont="1" applyBorder="1" applyAlignment="1">
      <alignment horizontal="left" vertical="center" wrapText="1"/>
    </xf>
    <xf numFmtId="0" fontId="33" fillId="0" borderId="43" xfId="0" applyFont="1" applyBorder="1" applyAlignment="1">
      <alignment horizontal="left" vertical="center" wrapText="1"/>
    </xf>
    <xf numFmtId="0" fontId="0" fillId="0" borderId="19" xfId="0" applyBorder="1" applyAlignment="1">
      <alignment horizontal="center" vertical="center" wrapText="1"/>
    </xf>
    <xf numFmtId="0" fontId="0" fillId="0" borderId="43" xfId="0" applyBorder="1" applyAlignment="1">
      <alignment horizontal="center" vertical="center" wrapText="1"/>
    </xf>
    <xf numFmtId="0" fontId="0" fillId="11" borderId="19" xfId="0" applyFill="1" applyBorder="1" applyAlignment="1">
      <alignment horizontal="center" vertical="center" wrapText="1"/>
    </xf>
    <xf numFmtId="0" fontId="0" fillId="11" borderId="43" xfId="0" applyFill="1" applyBorder="1" applyAlignment="1">
      <alignment horizontal="center" vertical="center" wrapText="1"/>
    </xf>
    <xf numFmtId="0" fontId="33" fillId="0" borderId="19" xfId="0" applyFont="1" applyBorder="1" applyAlignment="1">
      <alignment horizontal="left" vertical="top" wrapText="1"/>
    </xf>
    <xf numFmtId="0" fontId="33" fillId="0" borderId="23" xfId="0" applyFont="1" applyBorder="1" applyAlignment="1">
      <alignment horizontal="left" vertical="top" wrapText="1"/>
    </xf>
    <xf numFmtId="0" fontId="33" fillId="0" borderId="43" xfId="0" applyFont="1" applyBorder="1" applyAlignment="1">
      <alignment horizontal="left" vertical="top" wrapText="1"/>
    </xf>
    <xf numFmtId="0" fontId="33" fillId="11" borderId="19" xfId="0" applyFont="1" applyFill="1" applyBorder="1" applyAlignment="1">
      <alignment horizontal="left" vertical="center" wrapText="1"/>
    </xf>
    <xf numFmtId="0" fontId="33" fillId="11" borderId="23" xfId="0" applyFont="1" applyFill="1" applyBorder="1" applyAlignment="1">
      <alignment horizontal="left" vertical="center" wrapText="1"/>
    </xf>
    <xf numFmtId="0" fontId="33" fillId="11" borderId="43" xfId="0" applyFont="1" applyFill="1" applyBorder="1" applyAlignment="1">
      <alignment horizontal="left" vertical="center" wrapText="1"/>
    </xf>
    <xf numFmtId="0" fontId="33" fillId="11" borderId="19" xfId="0" applyFont="1" applyFill="1" applyBorder="1" applyAlignment="1">
      <alignment horizontal="center" vertical="center" wrapText="1"/>
    </xf>
    <xf numFmtId="0" fontId="33" fillId="11" borderId="23" xfId="0" applyFont="1" applyFill="1" applyBorder="1" applyAlignment="1">
      <alignment horizontal="center" vertical="center" wrapText="1"/>
    </xf>
    <xf numFmtId="0" fontId="33" fillId="11" borderId="43" xfId="0" applyFont="1" applyFill="1" applyBorder="1" applyAlignment="1">
      <alignment horizontal="center" vertical="center" wrapText="1"/>
    </xf>
    <xf numFmtId="0" fontId="8" fillId="0" borderId="51" xfId="0" applyFont="1" applyBorder="1" applyAlignment="1">
      <alignment horizontal="left" vertical="center" wrapText="1"/>
    </xf>
    <xf numFmtId="0" fontId="0" fillId="0" borderId="21" xfId="0" applyBorder="1" applyAlignment="1">
      <alignment horizontal="left" vertical="center" wrapText="1"/>
    </xf>
    <xf numFmtId="0" fontId="0" fillId="0" borderId="50" xfId="0" applyBorder="1" applyAlignment="1">
      <alignment horizontal="left" vertical="center" wrapText="1"/>
    </xf>
    <xf numFmtId="0" fontId="0" fillId="0" borderId="46" xfId="0" applyBorder="1" applyAlignment="1">
      <alignment horizontal="left" vertical="center" wrapText="1"/>
    </xf>
    <xf numFmtId="0" fontId="0" fillId="11" borderId="50" xfId="0" applyFill="1" applyBorder="1" applyAlignment="1">
      <alignment horizontal="left" vertical="center" wrapText="1"/>
    </xf>
    <xf numFmtId="0" fontId="0" fillId="11" borderId="46" xfId="0" applyFill="1" applyBorder="1" applyAlignment="1">
      <alignment horizontal="left" vertical="center" wrapText="1"/>
    </xf>
    <xf numFmtId="0" fontId="8" fillId="0" borderId="20" xfId="0" applyFont="1" applyBorder="1" applyAlignment="1">
      <alignment horizontal="left" vertical="center" wrapText="1"/>
    </xf>
    <xf numFmtId="0" fontId="0" fillId="0" borderId="49" xfId="0" applyBorder="1" applyAlignment="1">
      <alignment horizontal="left" wrapText="1"/>
    </xf>
    <xf numFmtId="0" fontId="0" fillId="0" borderId="46" xfId="0" applyBorder="1" applyAlignment="1">
      <alignment horizontal="left" wrapText="1"/>
    </xf>
    <xf numFmtId="0" fontId="0" fillId="11" borderId="49" xfId="0" applyFill="1" applyBorder="1" applyAlignment="1">
      <alignment horizontal="left" vertical="center" wrapText="1"/>
    </xf>
    <xf numFmtId="0" fontId="0" fillId="11" borderId="39" xfId="0" applyFill="1" applyBorder="1" applyAlignment="1">
      <alignment horizontal="left" vertical="center" wrapText="1"/>
    </xf>
    <xf numFmtId="0" fontId="0" fillId="11" borderId="19" xfId="0" applyFill="1" applyBorder="1" applyAlignment="1">
      <alignment horizontal="left" vertical="top" wrapText="1"/>
    </xf>
    <xf numFmtId="0" fontId="0" fillId="11" borderId="23" xfId="0" applyFill="1" applyBorder="1" applyAlignment="1">
      <alignment horizontal="left" vertical="top" wrapText="1"/>
    </xf>
    <xf numFmtId="0" fontId="0" fillId="11" borderId="43" xfId="0" applyFill="1" applyBorder="1" applyAlignment="1">
      <alignment horizontal="left" vertical="top" wrapText="1"/>
    </xf>
    <xf numFmtId="0" fontId="0" fillId="11" borderId="18" xfId="0" applyFill="1" applyBorder="1" applyAlignment="1">
      <alignment horizontal="left" vertical="top" wrapText="1"/>
    </xf>
    <xf numFmtId="0" fontId="0" fillId="0" borderId="18" xfId="0" applyBorder="1" applyAlignment="1">
      <alignment horizontal="left" vertical="top" wrapText="1"/>
    </xf>
    <xf numFmtId="0" fontId="3" fillId="5" borderId="18" xfId="0" applyFont="1" applyFill="1" applyBorder="1" applyAlignment="1">
      <alignment horizontal="left" vertical="center"/>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43" xfId="0" applyBorder="1" applyAlignment="1">
      <alignment horizontal="left" vertical="top" wrapText="1"/>
    </xf>
    <xf numFmtId="0" fontId="3" fillId="5" borderId="11" xfId="0" applyFont="1" applyFill="1" applyBorder="1" applyAlignment="1">
      <alignment horizontal="center" vertical="center"/>
    </xf>
    <xf numFmtId="0" fontId="1" fillId="0" borderId="19" xfId="0" applyFont="1" applyBorder="1" applyAlignment="1">
      <alignment horizontal="left" vertical="center" wrapText="1"/>
    </xf>
    <xf numFmtId="0" fontId="1" fillId="0" borderId="23" xfId="0" applyFont="1" applyBorder="1" applyAlignment="1">
      <alignment horizontal="left" vertical="center" wrapText="1"/>
    </xf>
    <xf numFmtId="0" fontId="1" fillId="0" borderId="43" xfId="0" applyFont="1" applyBorder="1" applyAlignment="1">
      <alignment horizontal="left" vertical="center" wrapText="1"/>
    </xf>
    <xf numFmtId="0" fontId="20" fillId="0" borderId="55" xfId="0" applyFont="1" applyBorder="1" applyAlignment="1">
      <alignment vertical="center" wrapText="1"/>
    </xf>
    <xf numFmtId="0" fontId="20" fillId="0" borderId="54" xfId="0" applyFont="1" applyBorder="1" applyAlignment="1">
      <alignment vertical="center" wrapText="1"/>
    </xf>
    <xf numFmtId="0" fontId="21" fillId="0" borderId="0" xfId="0" applyFont="1" applyAlignment="1">
      <alignment horizontal="center"/>
    </xf>
    <xf numFmtId="0" fontId="0" fillId="0" borderId="19" xfId="0" applyBorder="1" applyAlignment="1">
      <alignment horizontal="center" vertical="top" wrapText="1"/>
    </xf>
    <xf numFmtId="0" fontId="0" fillId="0" borderId="23" xfId="0" applyBorder="1" applyAlignment="1">
      <alignment horizontal="center" vertical="top" wrapText="1"/>
    </xf>
    <xf numFmtId="0" fontId="0" fillId="0" borderId="43" xfId="0" applyBorder="1" applyAlignment="1">
      <alignment horizontal="center" vertical="top" wrapText="1"/>
    </xf>
    <xf numFmtId="0" fontId="0" fillId="0" borderId="23" xfId="0"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1" xfId="0" applyFont="1" applyBorder="1" applyAlignment="1">
      <alignment horizontal="center" vertical="center" wrapText="1"/>
    </xf>
    <xf numFmtId="0" fontId="0" fillId="0" borderId="48" xfId="0" applyBorder="1" applyAlignment="1">
      <alignment horizontal="center"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0" fillId="0" borderId="43" xfId="0" applyBorder="1" applyAlignment="1">
      <alignment horizontal="left"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0" fillId="0" borderId="10" xfId="0" applyBorder="1" applyAlignment="1">
      <alignment horizontal="center" wrapText="1"/>
    </xf>
    <xf numFmtId="0" fontId="0" fillId="0" borderId="47" xfId="0" applyBorder="1" applyAlignment="1">
      <alignment horizont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3" fillId="0" borderId="19"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43" xfId="0" applyFont="1" applyBorder="1" applyAlignment="1">
      <alignment horizontal="center" vertical="center" wrapText="1"/>
    </xf>
    <xf numFmtId="0" fontId="8" fillId="0" borderId="12" xfId="0" applyFont="1" applyBorder="1" applyAlignment="1">
      <alignment vertical="top" wrapText="1"/>
    </xf>
    <xf numFmtId="0" fontId="0" fillId="0" borderId="2" xfId="0" applyBorder="1" applyAlignment="1">
      <alignment vertical="top" wrapText="1"/>
    </xf>
    <xf numFmtId="0" fontId="7" fillId="0" borderId="12" xfId="0" applyFont="1" applyBorder="1" applyAlignment="1">
      <alignment vertical="top" wrapText="1"/>
    </xf>
    <xf numFmtId="0" fontId="1" fillId="0" borderId="2" xfId="0" applyFont="1" applyBorder="1" applyAlignment="1">
      <alignment vertical="top" wrapText="1"/>
    </xf>
    <xf numFmtId="0" fontId="38" fillId="15" borderId="11" xfId="0" applyFont="1" applyFill="1" applyBorder="1" applyAlignment="1">
      <alignment horizontal="center" vertical="center"/>
    </xf>
    <xf numFmtId="0" fontId="0" fillId="0" borderId="13" xfId="0" applyBorder="1" applyAlignment="1">
      <alignment horizontal="left" vertical="center" wrapText="1"/>
    </xf>
    <xf numFmtId="0" fontId="0" fillId="0" borderId="3" xfId="0" applyBorder="1" applyAlignment="1">
      <alignment horizontal="left" vertical="center" wrapText="1"/>
    </xf>
    <xf numFmtId="0" fontId="33" fillId="0" borderId="13" xfId="0" applyFont="1" applyBorder="1" applyAlignment="1">
      <alignment horizontal="center" vertical="center" wrapText="1"/>
    </xf>
    <xf numFmtId="0" fontId="33" fillId="0" borderId="3" xfId="0" applyFont="1" applyBorder="1" applyAlignment="1">
      <alignment horizontal="center" vertical="center" wrapText="1"/>
    </xf>
    <xf numFmtId="0" fontId="0" fillId="0" borderId="0" xfId="0" applyAlignment="1">
      <alignment horizontal="center"/>
    </xf>
    <xf numFmtId="0" fontId="32" fillId="0" borderId="0" xfId="0" applyFont="1" applyAlignment="1">
      <alignment horizontal="left" vertical="center" wrapText="1"/>
    </xf>
    <xf numFmtId="0" fontId="25" fillId="0" borderId="0" xfId="0" applyFont="1" applyAlignment="1">
      <alignment horizontal="left" vertical="center"/>
    </xf>
    <xf numFmtId="0" fontId="25" fillId="0" borderId="36" xfId="0" applyFont="1" applyBorder="1" applyAlignment="1">
      <alignment horizontal="left"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30" fillId="0" borderId="29" xfId="0" applyFont="1" applyBorder="1" applyAlignment="1">
      <alignment horizontal="left" vertical="top" wrapText="1"/>
    </xf>
    <xf numFmtId="0" fontId="23" fillId="0" borderId="29" xfId="0" applyFont="1" applyBorder="1" applyAlignment="1">
      <alignment horizontal="left" vertical="top" wrapText="1"/>
    </xf>
    <xf numFmtId="0" fontId="23" fillId="0" borderId="30" xfId="0" applyFont="1" applyBorder="1" applyAlignment="1">
      <alignment horizontal="left" vertical="top" wrapText="1"/>
    </xf>
    <xf numFmtId="0" fontId="3" fillId="15" borderId="5" xfId="0" applyFont="1" applyFill="1" applyBorder="1" applyAlignment="1">
      <alignment horizontal="center" vertical="center"/>
    </xf>
    <xf numFmtId="0" fontId="3" fillId="15" borderId="0" xfId="0" applyFont="1" applyFill="1" applyAlignment="1">
      <alignment horizontal="center" vertical="center"/>
    </xf>
    <xf numFmtId="0" fontId="30" fillId="0" borderId="33" xfId="0" applyFont="1" applyBorder="1" applyAlignment="1">
      <alignment horizontal="left" vertical="top" wrapText="1"/>
    </xf>
    <xf numFmtId="0" fontId="23" fillId="0" borderId="34" xfId="0" applyFont="1" applyBorder="1" applyAlignment="1">
      <alignment horizontal="left" vertical="top" wrapText="1"/>
    </xf>
    <xf numFmtId="0" fontId="23" fillId="0" borderId="35" xfId="0" applyFont="1" applyBorder="1" applyAlignment="1">
      <alignment horizontal="left" vertical="top" wrapText="1"/>
    </xf>
    <xf numFmtId="0" fontId="30" fillId="11" borderId="37" xfId="0" applyFont="1" applyFill="1" applyBorder="1" applyAlignment="1">
      <alignment horizontal="left" vertical="top" wrapText="1"/>
    </xf>
    <xf numFmtId="0" fontId="23" fillId="11" borderId="0" xfId="0" applyFont="1" applyFill="1" applyAlignment="1">
      <alignment horizontal="left" vertical="top" wrapText="1"/>
    </xf>
    <xf numFmtId="0" fontId="23" fillId="11" borderId="38" xfId="0" applyFont="1" applyFill="1" applyBorder="1" applyAlignment="1">
      <alignment horizontal="left" vertical="top" wrapText="1"/>
    </xf>
    <xf numFmtId="0" fontId="31" fillId="11" borderId="29" xfId="0" applyFont="1" applyFill="1" applyBorder="1" applyAlignment="1">
      <alignment horizontal="left" vertical="top" wrapText="1"/>
    </xf>
    <xf numFmtId="0" fontId="9" fillId="11" borderId="29" xfId="0" applyFont="1" applyFill="1" applyBorder="1" applyAlignment="1">
      <alignment horizontal="left" vertical="top" wrapText="1"/>
    </xf>
    <xf numFmtId="0" fontId="9" fillId="11" borderId="30" xfId="0" applyFont="1" applyFill="1" applyBorder="1" applyAlignment="1">
      <alignment horizontal="left" vertical="top"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0" fillId="11" borderId="59" xfId="0" applyFill="1" applyBorder="1" applyAlignment="1">
      <alignment horizontal="center" vertical="center" wrapText="1"/>
    </xf>
    <xf numFmtId="0" fontId="0" fillId="11" borderId="62" xfId="0" applyFill="1" applyBorder="1" applyAlignment="1">
      <alignment horizontal="center" vertical="center" wrapText="1"/>
    </xf>
    <xf numFmtId="0" fontId="27" fillId="0" borderId="37" xfId="0" applyFont="1" applyBorder="1" applyAlignment="1">
      <alignment horizont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0" xfId="0" applyFont="1" applyFill="1" applyAlignment="1">
      <alignment horizontal="center" wrapText="1"/>
    </xf>
    <xf numFmtId="0" fontId="24" fillId="0" borderId="19"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0" fillId="0" borderId="23" xfId="0" applyBorder="1" applyAlignment="1">
      <alignment horizontal="center"/>
    </xf>
    <xf numFmtId="0" fontId="0" fillId="0" borderId="22" xfId="0" applyBorder="1" applyAlignment="1">
      <alignment horizontal="center"/>
    </xf>
    <xf numFmtId="0" fontId="3" fillId="5" borderId="18" xfId="0" applyFont="1" applyFill="1" applyBorder="1" applyAlignment="1">
      <alignment horizontal="center" vertical="center"/>
    </xf>
    <xf numFmtId="0" fontId="1" fillId="0" borderId="19" xfId="0" applyFont="1" applyBorder="1" applyAlignment="1">
      <alignment horizontal="center" vertical="center" wrapText="1"/>
    </xf>
    <xf numFmtId="0" fontId="0" fillId="0" borderId="23" xfId="0" applyFont="1" applyBorder="1" applyAlignment="1">
      <alignment horizontal="center" vertical="center" wrapText="1"/>
    </xf>
    <xf numFmtId="0" fontId="24" fillId="0" borderId="19" xfId="0" applyFont="1" applyBorder="1" applyAlignment="1">
      <alignment horizontal="center" vertical="center"/>
    </xf>
    <xf numFmtId="0" fontId="24" fillId="0" borderId="23" xfId="0" applyFont="1" applyBorder="1" applyAlignment="1">
      <alignment horizontal="center" vertical="center"/>
    </xf>
    <xf numFmtId="0" fontId="24" fillId="0" borderId="43" xfId="0" applyFont="1" applyBorder="1" applyAlignment="1">
      <alignment horizontal="center" vertical="center"/>
    </xf>
    <xf numFmtId="0" fontId="3" fillId="5" borderId="0" xfId="0" applyFont="1" applyFill="1" applyAlignment="1">
      <alignment horizontal="center" vertical="center"/>
    </xf>
    <xf numFmtId="0" fontId="4" fillId="2" borderId="2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13" borderId="58"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3" borderId="57"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0" fillId="0" borderId="20" xfId="0" applyBorder="1" applyAlignment="1">
      <alignment horizontal="left" vertical="top" wrapText="1"/>
    </xf>
    <xf numFmtId="0" fontId="0" fillId="0" borderId="49" xfId="0" applyBorder="1" applyAlignment="1">
      <alignment horizontal="left" vertical="top" wrapText="1"/>
    </xf>
    <xf numFmtId="0" fontId="0" fillId="0" borderId="56" xfId="0" applyBorder="1" applyAlignment="1">
      <alignment horizontal="left" vertical="top" wrapText="1"/>
    </xf>
    <xf numFmtId="0" fontId="0" fillId="0" borderId="20"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20" xfId="0" applyBorder="1" applyAlignment="1">
      <alignment horizontal="left" vertical="center" wrapText="1"/>
    </xf>
    <xf numFmtId="0" fontId="0" fillId="0" borderId="49" xfId="0" applyBorder="1" applyAlignment="1">
      <alignment horizontal="left" vertical="center" wrapText="1"/>
    </xf>
    <xf numFmtId="0" fontId="0" fillId="0" borderId="56" xfId="0" applyBorder="1" applyAlignment="1">
      <alignment horizontal="left" vertical="center" wrapText="1"/>
    </xf>
    <xf numFmtId="0" fontId="0" fillId="0" borderId="21" xfId="0" applyBorder="1" applyAlignment="1">
      <alignment horizontal="center" vertical="center" wrapText="1"/>
    </xf>
    <xf numFmtId="0" fontId="0" fillId="0" borderId="46" xfId="0" applyBorder="1" applyAlignment="1">
      <alignment horizontal="center" vertical="center" wrapText="1"/>
    </xf>
    <xf numFmtId="0" fontId="0" fillId="0" borderId="20" xfId="0" applyBorder="1" applyAlignment="1">
      <alignment horizontal="center" vertical="center" wrapText="1"/>
    </xf>
    <xf numFmtId="0" fontId="0" fillId="0" borderId="49" xfId="0" applyBorder="1" applyAlignment="1">
      <alignment horizontal="center" vertical="center" wrapText="1"/>
    </xf>
    <xf numFmtId="0" fontId="0" fillId="0" borderId="56" xfId="0" applyBorder="1" applyAlignment="1">
      <alignment horizontal="center" vertical="center" wrapText="1"/>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41" xfId="0" applyBorder="1" applyAlignment="1">
      <alignment horizontal="center" vertical="center"/>
    </xf>
    <xf numFmtId="0" fontId="0" fillId="12" borderId="20" xfId="0" applyFill="1" applyBorder="1" applyAlignment="1">
      <alignment horizontal="left" vertical="center" wrapText="1"/>
    </xf>
    <xf numFmtId="0" fontId="0" fillId="12" borderId="49" xfId="0" applyFill="1" applyBorder="1" applyAlignment="1">
      <alignment horizontal="left" vertical="center" wrapText="1"/>
    </xf>
    <xf numFmtId="0" fontId="0" fillId="12" borderId="56" xfId="0" applyFill="1" applyBorder="1" applyAlignment="1">
      <alignment horizontal="left" vertical="center" wrapText="1"/>
    </xf>
    <xf numFmtId="0" fontId="1" fillId="8" borderId="20" xfId="0" applyFont="1" applyFill="1" applyBorder="1" applyAlignment="1">
      <alignment horizontal="center" vertical="center"/>
    </xf>
    <xf numFmtId="0" fontId="1" fillId="8" borderId="46" xfId="0" applyFont="1" applyFill="1" applyBorder="1" applyAlignment="1">
      <alignment horizontal="center" vertical="center"/>
    </xf>
    <xf numFmtId="0" fontId="1" fillId="8" borderId="39" xfId="0" applyFont="1" applyFill="1" applyBorder="1" applyAlignment="1">
      <alignment horizontal="center" vertical="center"/>
    </xf>
    <xf numFmtId="0" fontId="0" fillId="11" borderId="20" xfId="0" applyFill="1" applyBorder="1" applyAlignment="1">
      <alignment horizontal="left" vertical="center" wrapText="1"/>
    </xf>
    <xf numFmtId="0" fontId="0" fillId="11" borderId="56" xfId="0" applyFill="1" applyBorder="1" applyAlignment="1">
      <alignment horizontal="left" vertical="center" wrapText="1"/>
    </xf>
    <xf numFmtId="0" fontId="0" fillId="12" borderId="20" xfId="0" applyFill="1" applyBorder="1" applyAlignment="1">
      <alignment horizontal="left" vertical="center"/>
    </xf>
    <xf numFmtId="0" fontId="0" fillId="12" borderId="49" xfId="0" applyFill="1" applyBorder="1" applyAlignment="1">
      <alignment horizontal="left" vertical="center"/>
    </xf>
    <xf numFmtId="0" fontId="3" fillId="5" borderId="22" xfId="0" applyFont="1" applyFill="1" applyBorder="1" applyAlignment="1">
      <alignment horizontal="center" vertical="center"/>
    </xf>
    <xf numFmtId="0" fontId="1" fillId="14" borderId="20" xfId="0" applyFont="1" applyFill="1" applyBorder="1" applyAlignment="1">
      <alignment horizontal="center" vertical="center"/>
    </xf>
    <xf numFmtId="0" fontId="1" fillId="14" borderId="49" xfId="0" applyFont="1" applyFill="1" applyBorder="1" applyAlignment="1">
      <alignment horizontal="center" vertical="center"/>
    </xf>
    <xf numFmtId="0" fontId="0" fillId="8" borderId="20" xfId="0" applyFill="1" applyBorder="1" applyAlignment="1">
      <alignment horizontal="center" vertical="center"/>
    </xf>
    <xf numFmtId="0" fontId="0" fillId="8" borderId="49" xfId="0" applyFill="1" applyBorder="1" applyAlignment="1">
      <alignment horizontal="center" vertical="center"/>
    </xf>
    <xf numFmtId="0" fontId="0" fillId="8" borderId="56" xfId="0" applyFill="1" applyBorder="1" applyAlignment="1">
      <alignment horizontal="center" vertical="center"/>
    </xf>
    <xf numFmtId="0" fontId="1" fillId="7" borderId="18" xfId="0" applyFont="1" applyFill="1" applyBorder="1" applyAlignment="1">
      <alignment horizontal="center" vertical="center"/>
    </xf>
    <xf numFmtId="0" fontId="1" fillId="8" borderId="18" xfId="0" applyFont="1" applyFill="1" applyBorder="1" applyAlignment="1">
      <alignment horizontal="center" vertical="center"/>
    </xf>
    <xf numFmtId="0" fontId="1" fillId="16" borderId="21" xfId="0" applyFont="1" applyFill="1" applyBorder="1" applyAlignment="1">
      <alignment horizontal="center" vertical="center" wrapText="1"/>
    </xf>
    <xf numFmtId="0" fontId="1" fillId="16" borderId="39" xfId="0" applyFont="1" applyFill="1" applyBorder="1" applyAlignment="1">
      <alignment horizontal="center" vertical="center" wrapText="1"/>
    </xf>
    <xf numFmtId="0" fontId="1" fillId="16" borderId="22" xfId="0" applyFont="1" applyFill="1" applyBorder="1" applyAlignment="1">
      <alignment horizontal="center" vertical="center" wrapText="1"/>
    </xf>
    <xf numFmtId="0" fontId="1" fillId="16" borderId="40" xfId="0" applyFont="1" applyFill="1" applyBorder="1" applyAlignment="1">
      <alignment horizontal="center" vertical="center" wrapText="1"/>
    </xf>
    <xf numFmtId="0" fontId="1" fillId="16" borderId="51" xfId="0" applyFont="1" applyFill="1" applyBorder="1" applyAlignment="1">
      <alignment horizontal="center" vertical="center" wrapText="1"/>
    </xf>
    <xf numFmtId="0" fontId="1" fillId="16" borderId="41" xfId="0" applyFont="1" applyFill="1" applyBorder="1" applyAlignment="1">
      <alignment horizontal="center" vertical="center" wrapText="1"/>
    </xf>
    <xf numFmtId="0" fontId="1" fillId="12" borderId="18" xfId="0" applyFont="1" applyFill="1" applyBorder="1" applyAlignment="1">
      <alignment horizontal="center" vertical="center"/>
    </xf>
    <xf numFmtId="0" fontId="5" fillId="2" borderId="5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17" borderId="17"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7" fillId="5" borderId="11" xfId="0" applyFont="1" applyFill="1" applyBorder="1" applyAlignment="1">
      <alignment horizontal="center" vertical="center"/>
    </xf>
    <xf numFmtId="0" fontId="37" fillId="5" borderId="17" xfId="0" applyFont="1" applyFill="1" applyBorder="1" applyAlignment="1">
      <alignment horizontal="center" vertical="center"/>
    </xf>
    <xf numFmtId="0" fontId="37" fillId="5" borderId="7" xfId="0" applyFont="1" applyFill="1" applyBorder="1" applyAlignment="1">
      <alignment horizontal="center" vertical="center"/>
    </xf>
    <xf numFmtId="0" fontId="5" fillId="2" borderId="1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15" fillId="5" borderId="18" xfId="0" applyFont="1" applyFill="1" applyBorder="1" applyAlignment="1">
      <alignment horizontal="center" vertical="center"/>
    </xf>
    <xf numFmtId="0" fontId="0" fillId="0" borderId="19" xfId="0" applyBorder="1" applyAlignment="1">
      <alignment horizontal="center"/>
    </xf>
    <xf numFmtId="0" fontId="0" fillId="0" borderId="43" xfId="0" applyBorder="1" applyAlignment="1">
      <alignment horizont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3" fillId="5" borderId="20"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56" xfId="0" applyFont="1" applyFill="1" applyBorder="1" applyAlignment="1">
      <alignment horizontal="center" vertical="center"/>
    </xf>
    <xf numFmtId="0" fontId="5" fillId="18" borderId="49"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0" fillId="0" borderId="18" xfId="0" applyBorder="1" applyAlignment="1">
      <alignment horizont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18" xfId="0" applyBorder="1" applyAlignment="1">
      <alignment horizontal="left" vertical="center" wrapText="1"/>
    </xf>
    <xf numFmtId="0" fontId="46" fillId="19" borderId="84" xfId="0" applyFont="1" applyFill="1" applyBorder="1" applyAlignment="1">
      <alignment horizontal="center" vertical="center" wrapText="1"/>
    </xf>
    <xf numFmtId="0" fontId="46" fillId="19" borderId="86" xfId="0" applyFont="1" applyFill="1"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85" xfId="0" applyBorder="1" applyAlignment="1">
      <alignment horizontal="center" vertical="center" wrapText="1"/>
    </xf>
    <xf numFmtId="0" fontId="0" fillId="0" borderId="85" xfId="0" applyBorder="1" applyAlignment="1">
      <alignment horizontal="center" vertical="center"/>
    </xf>
    <xf numFmtId="0" fontId="0" fillId="0" borderId="18" xfId="0" applyBorder="1" applyAlignment="1">
      <alignment horizontal="center" vertical="center" wrapText="1"/>
    </xf>
    <xf numFmtId="0" fontId="4" fillId="20" borderId="18"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43" fillId="21" borderId="83" xfId="0" applyFont="1" applyFill="1" applyBorder="1" applyAlignment="1">
      <alignment horizontal="center" vertical="center" wrapText="1"/>
    </xf>
    <xf numFmtId="0" fontId="42" fillId="0" borderId="54" xfId="0" applyFont="1" applyBorder="1"/>
    <xf numFmtId="0" fontId="7" fillId="3" borderId="19"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48" xfId="0" applyFont="1" applyFill="1" applyBorder="1" applyAlignment="1">
      <alignment horizontal="center" vertical="center"/>
    </xf>
    <xf numFmtId="0" fontId="3" fillId="5" borderId="59"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6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5" xfId="0" applyFont="1" applyFill="1" applyBorder="1" applyAlignment="1">
      <alignment horizontal="center" vertical="center"/>
    </xf>
    <xf numFmtId="0" fontId="48" fillId="0" borderId="20"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56" xfId="0" applyFont="1" applyBorder="1" applyAlignment="1">
      <alignment horizontal="center" vertical="center" wrapText="1"/>
    </xf>
    <xf numFmtId="0" fontId="41" fillId="0" borderId="81" xfId="0" applyFont="1" applyBorder="1" applyAlignment="1">
      <alignment horizontal="left" vertical="center" wrapText="1"/>
    </xf>
    <xf numFmtId="0" fontId="42" fillId="0" borderId="82" xfId="0" applyFont="1" applyBorder="1"/>
    <xf numFmtId="0" fontId="42" fillId="0" borderId="53" xfId="0" applyFont="1" applyBorder="1"/>
    <xf numFmtId="0" fontId="41" fillId="0" borderId="73" xfId="0" applyFont="1" applyBorder="1" applyAlignment="1">
      <alignment horizontal="left" vertical="center" wrapText="1"/>
    </xf>
    <xf numFmtId="0" fontId="42" fillId="0" borderId="74" xfId="0" applyFont="1" applyBorder="1"/>
    <xf numFmtId="0" fontId="42" fillId="0" borderId="52" xfId="0" applyFont="1" applyBorder="1"/>
    <xf numFmtId="0" fontId="14" fillId="0" borderId="20" xfId="0" applyFont="1" applyBorder="1" applyAlignment="1">
      <alignment horizontal="center" vertical="center"/>
    </xf>
    <xf numFmtId="0" fontId="14" fillId="0" borderId="49" xfId="0" applyFont="1" applyBorder="1" applyAlignment="1">
      <alignment horizontal="center" vertical="center"/>
    </xf>
    <xf numFmtId="0" fontId="14" fillId="0" borderId="56" xfId="0" applyFont="1" applyBorder="1" applyAlignment="1">
      <alignment horizontal="center" vertical="center"/>
    </xf>
    <xf numFmtId="0" fontId="44" fillId="11" borderId="20" xfId="0" applyFont="1" applyFill="1" applyBorder="1" applyAlignment="1">
      <alignment horizontal="center" vertical="center"/>
    </xf>
    <xf numFmtId="0" fontId="44" fillId="11" borderId="49" xfId="0" applyFont="1" applyFill="1" applyBorder="1" applyAlignment="1">
      <alignment horizontal="center" vertical="center"/>
    </xf>
    <xf numFmtId="0" fontId="44" fillId="11" borderId="56" xfId="0" applyFont="1" applyFill="1" applyBorder="1" applyAlignment="1">
      <alignment horizontal="center" vertical="center"/>
    </xf>
    <xf numFmtId="0" fontId="1" fillId="0" borderId="18" xfId="0" applyFont="1" applyBorder="1" applyAlignment="1">
      <alignment horizontal="right"/>
    </xf>
    <xf numFmtId="0" fontId="14" fillId="0" borderId="20"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6"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6"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56" xfId="0" applyFont="1" applyBorder="1" applyAlignment="1">
      <alignment horizontal="center" vertical="center" wrapText="1"/>
    </xf>
    <xf numFmtId="0" fontId="44" fillId="11" borderId="20" xfId="0" applyFont="1" applyFill="1" applyBorder="1" applyAlignment="1">
      <alignment horizontal="center" vertical="center" wrapText="1"/>
    </xf>
    <xf numFmtId="0" fontId="44" fillId="11" borderId="49" xfId="0" applyFont="1" applyFill="1" applyBorder="1" applyAlignment="1">
      <alignment horizontal="center" vertical="center" wrapText="1"/>
    </xf>
    <xf numFmtId="0" fontId="44" fillId="11" borderId="56"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49" xfId="0" applyFont="1" applyFill="1" applyBorder="1" applyAlignment="1">
      <alignment horizontal="center" vertical="center" wrapText="1"/>
    </xf>
    <xf numFmtId="0" fontId="45" fillId="11" borderId="56" xfId="0" applyFont="1" applyFill="1" applyBorder="1" applyAlignment="1">
      <alignment horizontal="center" vertical="center" wrapText="1"/>
    </xf>
    <xf numFmtId="0" fontId="48" fillId="0" borderId="18" xfId="0" applyFont="1" applyBorder="1" applyAlignment="1">
      <alignment horizontal="right"/>
    </xf>
    <xf numFmtId="0" fontId="5" fillId="2" borderId="19" xfId="0" applyFont="1" applyFill="1" applyBorder="1" applyAlignment="1">
      <alignment horizontal="center" vertical="center" wrapText="1"/>
    </xf>
  </cellXfs>
  <cellStyles count="4">
    <cellStyle name="Hipervínculo" xfId="1" builtinId="8"/>
    <cellStyle name="Millares" xfId="2"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on/Downloads/Herramienta%201-13-CORAAVEGA%20Matriz%20de%20Tareas%20PEI%208-1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ubenpc/Downloads/Herramienta%201-13-CORAAVEGA%20Matriz%20de%20Tareas%20PEI%208-12-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NGENIERIA/Desktop/presupuestos/Presupesto%20Redes%20Unidos%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
      <sheetName val="H2"/>
      <sheetName val="H3"/>
      <sheetName val="H4"/>
      <sheetName val="H5"/>
      <sheetName val="H6"/>
      <sheetName val="H7"/>
      <sheetName val="H8"/>
      <sheetName val="H9"/>
      <sheetName val="H10"/>
      <sheetName val="H11"/>
      <sheetName val="H12"/>
      <sheetName val="H13"/>
      <sheetName val="H14"/>
      <sheetName val="H15"/>
      <sheetName val="H16"/>
      <sheetName val="H17"/>
      <sheetName val="H18"/>
      <sheetName val="H19"/>
      <sheetName val="H20"/>
      <sheetName val="H21"/>
      <sheetName val="Sheet4"/>
    </sheetNames>
    <sheetDataSet>
      <sheetData sheetId="0"/>
      <sheetData sheetId="1"/>
      <sheetData sheetId="2">
        <row r="12">
          <cell r="A12" t="str">
            <v>Eficientizada la gestión de las empresas APS</v>
          </cell>
        </row>
      </sheetData>
      <sheetData sheetId="3"/>
      <sheetData sheetId="4"/>
      <sheetData sheetId="5"/>
      <sheetData sheetId="6"/>
      <sheetData sheetId="7">
        <row r="5">
          <cell r="B5" t="str">
            <v xml:space="preserve">Baja producción en el servicio de agua potable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
      <sheetName val="H2"/>
      <sheetName val="H3"/>
      <sheetName val="H4"/>
      <sheetName val="H5"/>
      <sheetName val="H6"/>
      <sheetName val="H7"/>
      <sheetName val="H8"/>
      <sheetName val="H9"/>
      <sheetName val="H10"/>
      <sheetName val="H11"/>
      <sheetName val="H12"/>
      <sheetName val="H13"/>
      <sheetName val="H14"/>
      <sheetName val="H15"/>
      <sheetName val="H16"/>
      <sheetName val="H17"/>
      <sheetName val="H18"/>
      <sheetName val="H19"/>
      <sheetName val="H20"/>
      <sheetName val="H21"/>
      <sheetName val="Sheet4"/>
    </sheetNames>
    <sheetDataSet>
      <sheetData sheetId="0"/>
      <sheetData sheetId="1"/>
      <sheetData sheetId="2"/>
      <sheetData sheetId="3"/>
      <sheetData sheetId="4"/>
      <sheetData sheetId="5"/>
      <sheetData sheetId="6"/>
      <sheetData sheetId="7"/>
      <sheetData sheetId="8"/>
      <sheetData sheetId="9">
        <row r="3">
          <cell r="A3" t="str">
            <v xml:space="preserve"> (1) Problema público institucional priorizado: Acceso limitado a los servicios de agua y saneamiento gestionados de forma segura.</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6"/>
      <sheetName val="H14"/>
      <sheetName val="H15"/>
      <sheetName val="H16"/>
      <sheetName val="H17"/>
      <sheetName val="H18"/>
      <sheetName val="H19"/>
      <sheetName val="H20"/>
      <sheetName val="H2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21"/>
  <sheetViews>
    <sheetView topLeftCell="A2" zoomScale="95" zoomScaleNormal="95" workbookViewId="0">
      <selection activeCell="C4" sqref="C4:C8"/>
    </sheetView>
  </sheetViews>
  <sheetFormatPr baseColWidth="10" defaultColWidth="9.140625" defaultRowHeight="18.75"/>
  <cols>
    <col min="1" max="1" width="31.140625" style="41" customWidth="1"/>
    <col min="2" max="2" width="37" style="41" customWidth="1"/>
    <col min="3" max="3" width="39.42578125" style="41" customWidth="1"/>
    <col min="4" max="4" width="30.42578125" style="41" customWidth="1"/>
    <col min="5" max="16384" width="9.140625" style="1"/>
  </cols>
  <sheetData>
    <row r="2" spans="1:4" customFormat="1">
      <c r="A2" s="304" t="s">
        <v>0</v>
      </c>
      <c r="B2" s="304"/>
      <c r="C2" s="304"/>
      <c r="D2" s="304"/>
    </row>
    <row r="3" spans="1:4" customFormat="1" ht="40.5" customHeight="1">
      <c r="A3" s="40" t="s">
        <v>1</v>
      </c>
      <c r="B3" s="40" t="s">
        <v>2</v>
      </c>
      <c r="C3" s="40" t="s">
        <v>3</v>
      </c>
      <c r="D3" s="40" t="s">
        <v>4</v>
      </c>
    </row>
    <row r="4" spans="1:4" customFormat="1" ht="40.5" customHeight="1">
      <c r="A4" s="282" t="s">
        <v>245</v>
      </c>
      <c r="B4" s="282" t="s">
        <v>246</v>
      </c>
      <c r="C4" s="285" t="s">
        <v>247</v>
      </c>
      <c r="D4" s="285" t="s">
        <v>248</v>
      </c>
    </row>
    <row r="5" spans="1:4" customFormat="1" ht="40.5" customHeight="1">
      <c r="A5" s="283"/>
      <c r="B5" s="283"/>
      <c r="C5" s="286"/>
      <c r="D5" s="286"/>
    </row>
    <row r="6" spans="1:4" customFormat="1" ht="40.5" customHeight="1">
      <c r="A6" s="283"/>
      <c r="B6" s="283"/>
      <c r="C6" s="286"/>
      <c r="D6" s="286"/>
    </row>
    <row r="7" spans="1:4" customFormat="1" ht="40.5" customHeight="1">
      <c r="A7" s="283"/>
      <c r="B7" s="283"/>
      <c r="C7" s="286"/>
      <c r="D7" s="286"/>
    </row>
    <row r="8" spans="1:4" customFormat="1" ht="60.75" customHeight="1">
      <c r="A8" s="284"/>
      <c r="B8" s="284"/>
      <c r="C8" s="287"/>
      <c r="D8" s="287"/>
    </row>
    <row r="9" spans="1:4" customFormat="1" ht="97.5" customHeight="1">
      <c r="A9" s="303" t="s">
        <v>163</v>
      </c>
      <c r="B9" s="302" t="s">
        <v>161</v>
      </c>
      <c r="C9" s="305" t="s">
        <v>164</v>
      </c>
      <c r="D9" s="299" t="s">
        <v>162</v>
      </c>
    </row>
    <row r="10" spans="1:4" customFormat="1" ht="72" customHeight="1">
      <c r="A10" s="303"/>
      <c r="B10" s="302"/>
      <c r="C10" s="306"/>
      <c r="D10" s="300"/>
    </row>
    <row r="11" spans="1:4" customFormat="1" ht="133.5" customHeight="1">
      <c r="A11" s="303"/>
      <c r="B11" s="302"/>
      <c r="C11" s="307"/>
      <c r="D11" s="300"/>
    </row>
    <row r="12" spans="1:4" customFormat="1" ht="0.75" customHeight="1">
      <c r="A12" s="303"/>
      <c r="B12" s="302"/>
      <c r="C12" s="58"/>
      <c r="D12" s="300"/>
    </row>
    <row r="13" spans="1:4" customFormat="1" ht="73.5" hidden="1" customHeight="1">
      <c r="A13" s="303"/>
      <c r="B13" s="302"/>
      <c r="C13" s="58"/>
      <c r="D13" s="301"/>
    </row>
    <row r="14" spans="1:4" customFormat="1" ht="165.75" customHeight="1">
      <c r="A14" s="272" t="s">
        <v>249</v>
      </c>
      <c r="B14" s="279" t="s">
        <v>250</v>
      </c>
      <c r="C14" s="31" t="s">
        <v>251</v>
      </c>
      <c r="D14" s="57" t="s">
        <v>252</v>
      </c>
    </row>
    <row r="15" spans="1:4" customFormat="1" ht="15" hidden="1" customHeight="1">
      <c r="A15" s="273"/>
      <c r="B15" s="280"/>
      <c r="C15" s="275"/>
      <c r="D15" s="277"/>
    </row>
    <row r="16" spans="1:4" customFormat="1" ht="90.75" hidden="1" customHeight="1">
      <c r="A16" s="274"/>
      <c r="B16" s="281"/>
      <c r="C16" s="276"/>
      <c r="D16" s="278"/>
    </row>
    <row r="17" spans="1:4" customFormat="1" ht="65.25" customHeight="1">
      <c r="A17" s="294"/>
      <c r="B17" s="295"/>
      <c r="C17" s="68"/>
      <c r="D17" s="297"/>
    </row>
    <row r="18" spans="1:4" customFormat="1" ht="72.75" hidden="1" customHeight="1">
      <c r="A18" s="289"/>
      <c r="B18" s="296"/>
      <c r="C18" s="69"/>
      <c r="D18" s="298"/>
    </row>
    <row r="19" spans="1:4" customFormat="1" ht="95.25" customHeight="1">
      <c r="A19" s="288"/>
      <c r="B19" s="290"/>
      <c r="C19" s="70"/>
      <c r="D19" s="292"/>
    </row>
    <row r="20" spans="1:4" customFormat="1" ht="15">
      <c r="A20" s="289"/>
      <c r="B20" s="291"/>
      <c r="C20" s="71"/>
      <c r="D20" s="293"/>
    </row>
    <row r="21" spans="1:4" ht="186" customHeight="1">
      <c r="A21" s="73"/>
      <c r="B21" s="72"/>
      <c r="C21" s="70"/>
      <c r="D21" s="70"/>
    </row>
  </sheetData>
  <mergeCells count="19">
    <mergeCell ref="A2:D2"/>
    <mergeCell ref="C9:C11"/>
    <mergeCell ref="A19:A20"/>
    <mergeCell ref="B19:B20"/>
    <mergeCell ref="D19:D20"/>
    <mergeCell ref="A17:A18"/>
    <mergeCell ref="B17:B18"/>
    <mergeCell ref="D17:D18"/>
    <mergeCell ref="A14:A16"/>
    <mergeCell ref="C15:C16"/>
    <mergeCell ref="D15:D16"/>
    <mergeCell ref="B14:B16"/>
    <mergeCell ref="A4:A8"/>
    <mergeCell ref="B4:B8"/>
    <mergeCell ref="C4:C8"/>
    <mergeCell ref="D4:D8"/>
    <mergeCell ref="D9:D13"/>
    <mergeCell ref="B9:B13"/>
    <mergeCell ref="A9:A13"/>
  </mergeCells>
  <pageMargins left="0.7" right="0.7" top="0.75" bottom="0.75" header="0.3" footer="0.3"/>
  <pageSetup paperSize="9" orientation="portrait" horizontalDpi="360" verticalDpi="36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4"/>
  <sheetViews>
    <sheetView zoomScale="85" zoomScaleNormal="85" workbookViewId="0">
      <selection activeCell="E5" sqref="E5"/>
    </sheetView>
  </sheetViews>
  <sheetFormatPr baseColWidth="10" defaultColWidth="9.140625" defaultRowHeight="15"/>
  <cols>
    <col min="1" max="1" width="30.7109375" customWidth="1"/>
    <col min="2" max="3" width="50.7109375" customWidth="1"/>
    <col min="4" max="4" width="32.85546875" customWidth="1"/>
    <col min="5" max="5" width="50.7109375" customWidth="1"/>
    <col min="6" max="6" width="30.5703125" customWidth="1"/>
    <col min="7" max="7" width="20.28515625" customWidth="1"/>
  </cols>
  <sheetData>
    <row r="2" spans="1:8" ht="18.75">
      <c r="A2" s="397" t="s">
        <v>47</v>
      </c>
      <c r="B2" s="397"/>
      <c r="C2" s="397"/>
      <c r="D2" s="397"/>
      <c r="E2" s="397"/>
      <c r="F2" s="397"/>
      <c r="G2" s="397"/>
    </row>
    <row r="3" spans="1:8" ht="30" customHeight="1">
      <c r="A3" s="398" t="str">
        <f>[2]H10!$A$3</f>
        <v xml:space="preserve"> (1) Problema público institucional priorizado: Acceso limitado a los servicios de agua y saneamiento gestionados de forma segura.</v>
      </c>
      <c r="B3" s="399"/>
      <c r="C3" s="399"/>
      <c r="D3" s="399"/>
      <c r="E3" s="399"/>
      <c r="F3" s="399"/>
      <c r="G3" s="399"/>
      <c r="H3" s="399"/>
    </row>
    <row r="4" spans="1:8" ht="30" customHeight="1">
      <c r="A4" s="23" t="s">
        <v>48</v>
      </c>
      <c r="B4" s="23" t="s">
        <v>49</v>
      </c>
      <c r="C4" s="23" t="s">
        <v>50</v>
      </c>
      <c r="D4" s="23" t="s">
        <v>51</v>
      </c>
      <c r="E4" s="23" t="s">
        <v>52</v>
      </c>
      <c r="F4" s="23" t="s">
        <v>53</v>
      </c>
      <c r="G4" s="23" t="s">
        <v>54</v>
      </c>
    </row>
    <row r="5" spans="1:8" ht="119.25" customHeight="1">
      <c r="A5" s="275" t="str">
        <f>[1]H8!B5</f>
        <v xml:space="preserve">Baja producción en el servicio de agua potable   </v>
      </c>
      <c r="B5" s="275" t="s">
        <v>580</v>
      </c>
      <c r="C5" s="58" t="s">
        <v>581</v>
      </c>
      <c r="D5" s="59" t="s">
        <v>582</v>
      </c>
      <c r="E5" s="59" t="s">
        <v>583</v>
      </c>
      <c r="F5" s="59" t="s">
        <v>274</v>
      </c>
      <c r="G5" s="58" t="s">
        <v>276</v>
      </c>
    </row>
    <row r="6" spans="1:8" ht="119.25" customHeight="1">
      <c r="A6" s="318"/>
      <c r="B6" s="276"/>
      <c r="C6" s="177" t="s">
        <v>579</v>
      </c>
      <c r="D6" s="19" t="s">
        <v>270</v>
      </c>
      <c r="E6" s="177" t="s">
        <v>273</v>
      </c>
      <c r="F6" s="19" t="s">
        <v>275</v>
      </c>
      <c r="G6" s="92" t="s">
        <v>277</v>
      </c>
    </row>
    <row r="7" spans="1:8" ht="81" customHeight="1">
      <c r="A7" s="318"/>
      <c r="B7" s="326" t="s">
        <v>578</v>
      </c>
      <c r="C7" s="58" t="s">
        <v>268</v>
      </c>
      <c r="D7" s="19" t="s">
        <v>269</v>
      </c>
      <c r="E7" s="58" t="s">
        <v>272</v>
      </c>
      <c r="F7" s="59" t="s">
        <v>274</v>
      </c>
      <c r="G7" s="24" t="s">
        <v>277</v>
      </c>
    </row>
    <row r="8" spans="1:8" ht="67.5" customHeight="1">
      <c r="A8" s="276"/>
      <c r="B8" s="328"/>
      <c r="C8" s="58" t="s">
        <v>579</v>
      </c>
      <c r="D8" s="19" t="s">
        <v>270</v>
      </c>
      <c r="E8" s="58" t="s">
        <v>273</v>
      </c>
      <c r="F8" s="19" t="s">
        <v>275</v>
      </c>
      <c r="G8" s="92" t="s">
        <v>277</v>
      </c>
    </row>
    <row r="9" spans="1:8">
      <c r="A9" s="275" t="s">
        <v>278</v>
      </c>
      <c r="B9" s="275" t="s">
        <v>279</v>
      </c>
      <c r="C9" s="275" t="s">
        <v>268</v>
      </c>
      <c r="D9" s="326" t="s">
        <v>283</v>
      </c>
      <c r="E9" s="275" t="s">
        <v>271</v>
      </c>
      <c r="F9" s="275" t="s">
        <v>274</v>
      </c>
      <c r="G9" s="275" t="s">
        <v>277</v>
      </c>
    </row>
    <row r="10" spans="1:8" ht="75" customHeight="1">
      <c r="A10" s="318"/>
      <c r="B10" s="318"/>
      <c r="C10" s="318"/>
      <c r="D10" s="327"/>
      <c r="E10" s="318"/>
      <c r="F10" s="318"/>
      <c r="G10" s="318"/>
    </row>
    <row r="11" spans="1:8">
      <c r="A11" s="318"/>
      <c r="B11" s="318"/>
      <c r="C11" s="276"/>
      <c r="D11" s="328"/>
      <c r="E11" s="276"/>
      <c r="F11" s="276"/>
      <c r="G11" s="276"/>
    </row>
    <row r="12" spans="1:8">
      <c r="A12" s="318"/>
      <c r="B12" s="318"/>
      <c r="C12" s="275" t="s">
        <v>584</v>
      </c>
      <c r="D12" s="275" t="s">
        <v>270</v>
      </c>
      <c r="E12" s="275" t="s">
        <v>286</v>
      </c>
      <c r="F12" s="275" t="s">
        <v>275</v>
      </c>
      <c r="G12" s="275" t="s">
        <v>277</v>
      </c>
    </row>
    <row r="13" spans="1:8">
      <c r="A13" s="318"/>
      <c r="B13" s="318"/>
      <c r="C13" s="318"/>
      <c r="D13" s="318"/>
      <c r="E13" s="318"/>
      <c r="F13" s="318"/>
      <c r="G13" s="318"/>
    </row>
    <row r="14" spans="1:8" ht="51.75" customHeight="1">
      <c r="A14" s="318"/>
      <c r="B14" s="276"/>
      <c r="C14" s="276"/>
      <c r="D14" s="276"/>
      <c r="E14" s="276"/>
      <c r="F14" s="276"/>
      <c r="G14" s="276"/>
    </row>
    <row r="15" spans="1:8">
      <c r="A15" s="318"/>
      <c r="B15" s="275" t="s">
        <v>280</v>
      </c>
      <c r="C15" s="275" t="s">
        <v>282</v>
      </c>
      <c r="D15" s="275" t="s">
        <v>284</v>
      </c>
      <c r="E15" s="275" t="s">
        <v>287</v>
      </c>
      <c r="F15" s="275" t="s">
        <v>274</v>
      </c>
      <c r="G15" s="275" t="s">
        <v>277</v>
      </c>
    </row>
    <row r="16" spans="1:8">
      <c r="A16" s="318"/>
      <c r="B16" s="318"/>
      <c r="C16" s="318"/>
      <c r="D16" s="318"/>
      <c r="E16" s="318"/>
      <c r="F16" s="318"/>
      <c r="G16" s="318"/>
    </row>
    <row r="17" spans="1:7">
      <c r="A17" s="318"/>
      <c r="B17" s="318"/>
      <c r="C17" s="318"/>
      <c r="D17" s="318"/>
      <c r="E17" s="318"/>
      <c r="F17" s="318"/>
      <c r="G17" s="318"/>
    </row>
    <row r="18" spans="1:7">
      <c r="A18" s="318"/>
      <c r="B18" s="318"/>
      <c r="C18" s="318"/>
      <c r="D18" s="318"/>
      <c r="E18" s="318"/>
      <c r="F18" s="318"/>
      <c r="G18" s="318"/>
    </row>
    <row r="19" spans="1:7">
      <c r="A19" s="318"/>
      <c r="B19" s="276"/>
      <c r="C19" s="276"/>
      <c r="D19" s="276"/>
      <c r="E19" s="276"/>
      <c r="F19" s="276"/>
      <c r="G19" s="276"/>
    </row>
    <row r="20" spans="1:7">
      <c r="A20" s="318"/>
      <c r="B20" s="275" t="s">
        <v>281</v>
      </c>
      <c r="C20" s="275" t="s">
        <v>585</v>
      </c>
      <c r="D20" s="275" t="s">
        <v>285</v>
      </c>
      <c r="E20" s="275" t="s">
        <v>288</v>
      </c>
      <c r="F20" s="275" t="s">
        <v>275</v>
      </c>
      <c r="G20" s="275" t="s">
        <v>276</v>
      </c>
    </row>
    <row r="21" spans="1:7">
      <c r="A21" s="318"/>
      <c r="B21" s="318"/>
      <c r="C21" s="318"/>
      <c r="D21" s="318"/>
      <c r="E21" s="318"/>
      <c r="F21" s="318"/>
      <c r="G21" s="318"/>
    </row>
    <row r="22" spans="1:7" ht="29.25" customHeight="1">
      <c r="A22" s="318"/>
      <c r="B22" s="276"/>
      <c r="C22" s="276"/>
      <c r="D22" s="276"/>
      <c r="E22" s="276"/>
      <c r="F22" s="276"/>
      <c r="G22" s="276"/>
    </row>
    <row r="23" spans="1:7" hidden="1">
      <c r="A23" s="276"/>
      <c r="B23" s="63"/>
    </row>
    <row r="24" spans="1:7">
      <c r="A24" s="61"/>
    </row>
  </sheetData>
  <mergeCells count="29">
    <mergeCell ref="B5:B6"/>
    <mergeCell ref="A3:H3"/>
    <mergeCell ref="G9:G11"/>
    <mergeCell ref="G12:G14"/>
    <mergeCell ref="G15:G19"/>
    <mergeCell ref="E9:E11"/>
    <mergeCell ref="E12:E14"/>
    <mergeCell ref="E15:E19"/>
    <mergeCell ref="E20:E22"/>
    <mergeCell ref="F20:F22"/>
    <mergeCell ref="F15:F19"/>
    <mergeCell ref="F12:F14"/>
    <mergeCell ref="F9:F11"/>
    <mergeCell ref="A2:G2"/>
    <mergeCell ref="A5:A8"/>
    <mergeCell ref="B7:B8"/>
    <mergeCell ref="A9:A23"/>
    <mergeCell ref="B9:B14"/>
    <mergeCell ref="B15:B19"/>
    <mergeCell ref="B20:B22"/>
    <mergeCell ref="C9:C11"/>
    <mergeCell ref="C12:C14"/>
    <mergeCell ref="C15:C19"/>
    <mergeCell ref="C20:C22"/>
    <mergeCell ref="D12:D14"/>
    <mergeCell ref="D15:D19"/>
    <mergeCell ref="D9:D11"/>
    <mergeCell ref="D20:D22"/>
    <mergeCell ref="G20:G22"/>
  </mergeCells>
  <pageMargins left="0.7" right="0.7" top="0.75" bottom="0.75" header="0.3" footer="0.3"/>
  <pageSetup paperSize="9" orientation="portrait" horizontalDpi="360" verticalDpi="36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workbookViewId="0">
      <selection activeCell="A37" sqref="A37"/>
    </sheetView>
  </sheetViews>
  <sheetFormatPr baseColWidth="10" defaultColWidth="9.140625" defaultRowHeight="15"/>
  <cols>
    <col min="1" max="2" width="50.7109375" customWidth="1"/>
  </cols>
  <sheetData>
    <row r="2" spans="1:5" ht="19.5" thickBot="1">
      <c r="A2" s="308" t="s">
        <v>55</v>
      </c>
      <c r="B2" s="308"/>
    </row>
    <row r="3" spans="1:5" ht="50.1" customHeight="1" thickBot="1">
      <c r="A3" s="400" t="s">
        <v>56</v>
      </c>
      <c r="B3" s="401"/>
    </row>
    <row r="4" spans="1:5">
      <c r="A4" s="102" t="s">
        <v>57</v>
      </c>
      <c r="B4" s="104" t="s">
        <v>58</v>
      </c>
    </row>
    <row r="5" spans="1:5">
      <c r="A5" s="95" t="s">
        <v>315</v>
      </c>
      <c r="B5" s="96" t="s">
        <v>289</v>
      </c>
    </row>
    <row r="6" spans="1:5">
      <c r="A6" s="96" t="s">
        <v>316</v>
      </c>
      <c r="B6" s="96" t="s">
        <v>290</v>
      </c>
    </row>
    <row r="7" spans="1:5" ht="18" customHeight="1">
      <c r="A7" s="96" t="s">
        <v>318</v>
      </c>
      <c r="B7" s="96" t="s">
        <v>291</v>
      </c>
    </row>
    <row r="8" spans="1:5" ht="29.25" customHeight="1">
      <c r="A8" s="96" t="s">
        <v>317</v>
      </c>
      <c r="B8" s="99" t="s">
        <v>292</v>
      </c>
      <c r="D8" s="66"/>
    </row>
    <row r="9" spans="1:5">
      <c r="A9" s="103" t="s">
        <v>319</v>
      </c>
      <c r="B9" s="99" t="s">
        <v>293</v>
      </c>
    </row>
    <row r="10" spans="1:5">
      <c r="A10" s="96" t="s">
        <v>320</v>
      </c>
      <c r="B10" s="99" t="s">
        <v>294</v>
      </c>
      <c r="E10" s="105"/>
    </row>
    <row r="11" spans="1:5">
      <c r="A11" s="103" t="s">
        <v>328</v>
      </c>
      <c r="B11" s="99" t="s">
        <v>303</v>
      </c>
    </row>
    <row r="12" spans="1:5">
      <c r="A12" s="31" t="s">
        <v>329</v>
      </c>
      <c r="B12" s="100" t="s">
        <v>312</v>
      </c>
    </row>
    <row r="13" spans="1:5">
      <c r="A13" s="31" t="s">
        <v>330</v>
      </c>
      <c r="B13" s="101" t="s">
        <v>309</v>
      </c>
    </row>
    <row r="14" spans="1:5">
      <c r="A14" s="31" t="s">
        <v>404</v>
      </c>
      <c r="B14" s="99" t="s">
        <v>295</v>
      </c>
    </row>
    <row r="15" spans="1:5" ht="30">
      <c r="A15" s="99">
        <v>11</v>
      </c>
      <c r="B15" s="99" t="s">
        <v>296</v>
      </c>
    </row>
    <row r="16" spans="1:5" ht="30">
      <c r="A16" s="99">
        <v>12</v>
      </c>
      <c r="B16" s="99" t="s">
        <v>297</v>
      </c>
    </row>
    <row r="17" spans="1:2">
      <c r="A17" s="99">
        <v>13</v>
      </c>
      <c r="B17" s="99" t="s">
        <v>299</v>
      </c>
    </row>
    <row r="18" spans="1:2">
      <c r="A18" s="99">
        <v>14</v>
      </c>
      <c r="B18" s="99" t="s">
        <v>300</v>
      </c>
    </row>
    <row r="19" spans="1:2">
      <c r="A19" s="99">
        <v>15</v>
      </c>
      <c r="B19" s="99" t="s">
        <v>301</v>
      </c>
    </row>
    <row r="20" spans="1:2">
      <c r="A20" s="99">
        <v>16</v>
      </c>
      <c r="B20" s="99" t="s">
        <v>304</v>
      </c>
    </row>
    <row r="21" spans="1:2">
      <c r="A21" s="99">
        <v>17</v>
      </c>
      <c r="B21" s="99" t="s">
        <v>332</v>
      </c>
    </row>
    <row r="22" spans="1:2" ht="42">
      <c r="A22" s="99">
        <v>18</v>
      </c>
      <c r="B22" s="27" t="s">
        <v>334</v>
      </c>
    </row>
    <row r="23" spans="1:2" ht="30">
      <c r="A23" s="99">
        <v>19</v>
      </c>
      <c r="B23" s="99" t="s">
        <v>333</v>
      </c>
    </row>
    <row r="24" spans="1:2">
      <c r="A24" s="99">
        <v>20</v>
      </c>
      <c r="B24" s="99" t="s">
        <v>302</v>
      </c>
    </row>
    <row r="25" spans="1:2" ht="30">
      <c r="A25" s="31">
        <v>21</v>
      </c>
      <c r="B25" s="99" t="s">
        <v>331</v>
      </c>
    </row>
    <row r="26" spans="1:2" ht="50.1" customHeight="1" thickBot="1">
      <c r="A26" s="402" t="s">
        <v>59</v>
      </c>
      <c r="B26" s="403"/>
    </row>
    <row r="27" spans="1:2" ht="15.75" thickBot="1">
      <c r="A27" s="6" t="s">
        <v>60</v>
      </c>
      <c r="B27" s="6" t="s">
        <v>61</v>
      </c>
    </row>
    <row r="28" spans="1:2">
      <c r="A28" s="31" t="s">
        <v>322</v>
      </c>
      <c r="B28" s="98" t="s">
        <v>307</v>
      </c>
    </row>
    <row r="29" spans="1:2">
      <c r="A29" s="31" t="s">
        <v>323</v>
      </c>
      <c r="B29" s="98" t="s">
        <v>308</v>
      </c>
    </row>
    <row r="30" spans="1:2" ht="30">
      <c r="A30" s="31" t="s">
        <v>321</v>
      </c>
      <c r="B30" s="31" t="s">
        <v>310</v>
      </c>
    </row>
    <row r="31" spans="1:2" ht="48.75" customHeight="1">
      <c r="A31" s="31" t="s">
        <v>324</v>
      </c>
      <c r="B31" s="31" t="s">
        <v>311</v>
      </c>
    </row>
    <row r="32" spans="1:2" ht="30">
      <c r="A32" s="31" t="s">
        <v>325</v>
      </c>
      <c r="B32" s="97" t="s">
        <v>312</v>
      </c>
    </row>
    <row r="33" spans="1:2" ht="30">
      <c r="A33" s="31" t="s">
        <v>327</v>
      </c>
      <c r="B33" s="31" t="s">
        <v>313</v>
      </c>
    </row>
    <row r="34" spans="1:2">
      <c r="A34" s="98" t="s">
        <v>326</v>
      </c>
      <c r="B34" s="97" t="s">
        <v>337</v>
      </c>
    </row>
    <row r="35" spans="1:2">
      <c r="A35" s="97" t="s">
        <v>335</v>
      </c>
      <c r="B35" s="97" t="s">
        <v>338</v>
      </c>
    </row>
    <row r="36" spans="1:2">
      <c r="A36" s="97" t="s">
        <v>336</v>
      </c>
      <c r="B36" s="97" t="s">
        <v>339</v>
      </c>
    </row>
    <row r="37" spans="1:2">
      <c r="A37" s="103" t="s">
        <v>431</v>
      </c>
      <c r="B37" s="97"/>
    </row>
  </sheetData>
  <mergeCells count="3">
    <mergeCell ref="A3:B3"/>
    <mergeCell ref="A26:B26"/>
    <mergeCell ref="A2:B2"/>
  </mergeCells>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0"/>
  <sheetViews>
    <sheetView workbookViewId="0">
      <selection activeCell="F41" sqref="F41:J41"/>
    </sheetView>
  </sheetViews>
  <sheetFormatPr baseColWidth="10" defaultColWidth="9.140625" defaultRowHeight="15"/>
  <cols>
    <col min="1" max="1" width="5.28515625" customWidth="1"/>
    <col min="2" max="2" width="34.5703125" customWidth="1"/>
    <col min="3" max="3" width="8.85546875" customWidth="1"/>
    <col min="4" max="4" width="44" customWidth="1"/>
    <col min="5" max="5" width="7.85546875" customWidth="1"/>
    <col min="6" max="6" width="9.42578125" customWidth="1"/>
    <col min="10" max="10" width="10.5703125" customWidth="1"/>
    <col min="11" max="11" width="0.85546875" hidden="1" customWidth="1"/>
    <col min="12" max="12" width="9.140625" hidden="1" customWidth="1"/>
  </cols>
  <sheetData>
    <row r="2" spans="1:13" ht="18.75">
      <c r="A2" s="431" t="s">
        <v>369</v>
      </c>
      <c r="B2" s="397"/>
      <c r="C2" s="397"/>
      <c r="D2" s="397"/>
      <c r="E2" s="397"/>
      <c r="F2" s="397"/>
      <c r="G2" s="397"/>
      <c r="H2" s="397"/>
      <c r="I2" s="397"/>
      <c r="J2" s="397"/>
      <c r="K2" s="397"/>
      <c r="L2" s="397"/>
      <c r="M2" s="65"/>
    </row>
    <row r="3" spans="1:13" s="7" customFormat="1">
      <c r="A3" s="439" t="s">
        <v>370</v>
      </c>
      <c r="B3" s="440"/>
      <c r="C3" s="437" t="s">
        <v>57</v>
      </c>
      <c r="D3" s="437"/>
      <c r="E3" s="432" t="s">
        <v>58</v>
      </c>
      <c r="F3" s="433"/>
      <c r="G3" s="433"/>
      <c r="H3" s="433"/>
      <c r="I3" s="433"/>
      <c r="J3" s="433"/>
      <c r="K3" s="433"/>
      <c r="L3" s="433"/>
      <c r="M3" s="106"/>
    </row>
    <row r="4" spans="1:13" s="7" customFormat="1" ht="31.5" customHeight="1">
      <c r="A4" s="441"/>
      <c r="B4" s="442"/>
      <c r="C4" s="117" t="s">
        <v>62</v>
      </c>
      <c r="D4" s="118" t="s">
        <v>367</v>
      </c>
      <c r="E4" s="117" t="s">
        <v>63</v>
      </c>
      <c r="F4" s="421" t="s">
        <v>418</v>
      </c>
      <c r="G4" s="422"/>
      <c r="H4" s="422"/>
      <c r="I4" s="422"/>
      <c r="J4" s="422"/>
      <c r="K4" s="422"/>
      <c r="L4" s="422"/>
      <c r="M4" s="106"/>
    </row>
    <row r="5" spans="1:13" s="7" customFormat="1" ht="15" customHeight="1">
      <c r="A5" s="441"/>
      <c r="B5" s="442"/>
      <c r="C5" s="117" t="s">
        <v>64</v>
      </c>
      <c r="D5" s="119" t="s">
        <v>416</v>
      </c>
      <c r="E5" s="117" t="s">
        <v>65</v>
      </c>
      <c r="F5" s="421" t="s">
        <v>419</v>
      </c>
      <c r="G5" s="422"/>
      <c r="H5" s="422"/>
      <c r="I5" s="422"/>
      <c r="J5" s="422"/>
      <c r="K5" s="422"/>
      <c r="L5" s="422"/>
      <c r="M5" s="106"/>
    </row>
    <row r="6" spans="1:13" s="7" customFormat="1" ht="30.75" customHeight="1">
      <c r="A6" s="441"/>
      <c r="B6" s="442"/>
      <c r="C6" s="117" t="s">
        <v>340</v>
      </c>
      <c r="D6" s="119" t="s">
        <v>415</v>
      </c>
      <c r="E6" s="117" t="s">
        <v>348</v>
      </c>
      <c r="F6" s="421" t="s">
        <v>420</v>
      </c>
      <c r="G6" s="422"/>
      <c r="H6" s="422"/>
      <c r="I6" s="422"/>
      <c r="J6" s="422"/>
      <c r="K6" s="422"/>
      <c r="L6" s="422"/>
      <c r="M6" s="106"/>
    </row>
    <row r="7" spans="1:13" s="7" customFormat="1" ht="45" customHeight="1">
      <c r="A7" s="441"/>
      <c r="B7" s="442"/>
      <c r="C7" s="117" t="s">
        <v>341</v>
      </c>
      <c r="D7" s="120" t="s">
        <v>397</v>
      </c>
      <c r="E7" s="117" t="s">
        <v>349</v>
      </c>
      <c r="F7" s="421" t="s">
        <v>421</v>
      </c>
      <c r="G7" s="422"/>
      <c r="H7" s="422"/>
      <c r="I7" s="422"/>
      <c r="J7" s="422"/>
      <c r="K7" s="422"/>
      <c r="L7" s="422"/>
      <c r="M7" s="106"/>
    </row>
    <row r="8" spans="1:13" s="7" customFormat="1" ht="27" customHeight="1">
      <c r="A8" s="441"/>
      <c r="B8" s="442"/>
      <c r="C8" s="117" t="s">
        <v>342</v>
      </c>
      <c r="D8" s="121" t="s">
        <v>298</v>
      </c>
      <c r="E8" s="117" t="s">
        <v>350</v>
      </c>
      <c r="F8" s="421" t="s">
        <v>422</v>
      </c>
      <c r="G8" s="422"/>
      <c r="H8" s="422"/>
      <c r="I8" s="422"/>
      <c r="J8" s="422"/>
      <c r="K8" s="422"/>
      <c r="L8" s="422"/>
      <c r="M8" s="106"/>
    </row>
    <row r="9" spans="1:13" s="7" customFormat="1" ht="30.75" customHeight="1">
      <c r="A9" s="441"/>
      <c r="B9" s="442"/>
      <c r="C9" s="117" t="s">
        <v>343</v>
      </c>
      <c r="D9" s="119" t="s">
        <v>306</v>
      </c>
      <c r="E9" s="117" t="s">
        <v>351</v>
      </c>
      <c r="F9" s="421" t="s">
        <v>423</v>
      </c>
      <c r="G9" s="422"/>
      <c r="H9" s="422"/>
      <c r="I9" s="422"/>
      <c r="J9" s="422"/>
      <c r="K9" s="422"/>
      <c r="L9" s="422"/>
      <c r="M9" s="106"/>
    </row>
    <row r="10" spans="1:13" s="7" customFormat="1" ht="27" customHeight="1">
      <c r="A10" s="441"/>
      <c r="B10" s="442"/>
      <c r="C10" s="117" t="s">
        <v>344</v>
      </c>
      <c r="D10" s="121" t="s">
        <v>414</v>
      </c>
      <c r="E10" s="117" t="s">
        <v>352</v>
      </c>
      <c r="F10" s="421" t="s">
        <v>303</v>
      </c>
      <c r="G10" s="422"/>
      <c r="H10" s="422"/>
      <c r="I10" s="422"/>
      <c r="J10" s="422"/>
      <c r="K10" s="422"/>
      <c r="L10" s="422"/>
      <c r="M10" s="106"/>
    </row>
    <row r="11" spans="1:13" s="7" customFormat="1" ht="26.25" customHeight="1">
      <c r="A11" s="441"/>
      <c r="B11" s="442"/>
      <c r="C11" s="117" t="s">
        <v>345</v>
      </c>
      <c r="D11" s="122" t="s">
        <v>417</v>
      </c>
      <c r="E11" s="117" t="s">
        <v>353</v>
      </c>
      <c r="F11" s="421" t="s">
        <v>393</v>
      </c>
      <c r="G11" s="422"/>
      <c r="H11" s="422"/>
      <c r="I11" s="422"/>
      <c r="J11" s="422"/>
      <c r="K11" s="422"/>
      <c r="L11" s="422"/>
      <c r="M11" s="106"/>
    </row>
    <row r="12" spans="1:13" s="7" customFormat="1" ht="29.25" customHeight="1">
      <c r="A12" s="441"/>
      <c r="B12" s="442"/>
      <c r="C12" s="117" t="s">
        <v>346</v>
      </c>
      <c r="D12" s="122" t="s">
        <v>402</v>
      </c>
      <c r="E12" s="117" t="s">
        <v>354</v>
      </c>
      <c r="F12" s="421" t="s">
        <v>424</v>
      </c>
      <c r="G12" s="422"/>
      <c r="H12" s="422"/>
      <c r="I12" s="422"/>
      <c r="J12" s="422"/>
      <c r="K12" s="422"/>
      <c r="L12" s="422"/>
      <c r="M12" s="106"/>
    </row>
    <row r="13" spans="1:13" s="7" customFormat="1" ht="27" customHeight="1">
      <c r="A13" s="441"/>
      <c r="B13" s="442"/>
      <c r="C13" s="117" t="s">
        <v>347</v>
      </c>
      <c r="D13" s="120" t="s">
        <v>413</v>
      </c>
      <c r="E13" s="117" t="s">
        <v>355</v>
      </c>
      <c r="F13" s="421" t="s">
        <v>425</v>
      </c>
      <c r="G13" s="422"/>
      <c r="H13" s="422"/>
      <c r="I13" s="422"/>
      <c r="J13" s="422"/>
      <c r="K13" s="422"/>
      <c r="L13" s="422"/>
      <c r="M13" s="106"/>
    </row>
    <row r="14" spans="1:13" s="7" customFormat="1" ht="30.75" customHeight="1">
      <c r="A14" s="441"/>
      <c r="B14" s="442"/>
      <c r="C14" s="117" t="s">
        <v>428</v>
      </c>
      <c r="D14" s="123"/>
      <c r="E14" s="117" t="s">
        <v>356</v>
      </c>
      <c r="F14" s="421" t="s">
        <v>296</v>
      </c>
      <c r="G14" s="422"/>
      <c r="H14" s="422"/>
      <c r="I14" s="422"/>
      <c r="J14" s="422"/>
      <c r="K14" s="422"/>
      <c r="L14" s="422"/>
      <c r="M14" s="106"/>
    </row>
    <row r="15" spans="1:13" s="7" customFormat="1" ht="27.75" customHeight="1">
      <c r="A15" s="441"/>
      <c r="B15" s="442"/>
      <c r="C15" s="117"/>
      <c r="D15" s="122"/>
      <c r="E15" s="117" t="s">
        <v>357</v>
      </c>
      <c r="F15" s="421" t="s">
        <v>426</v>
      </c>
      <c r="G15" s="422"/>
      <c r="H15" s="422"/>
      <c r="I15" s="422"/>
      <c r="J15" s="422"/>
      <c r="K15" s="422"/>
      <c r="L15" s="422"/>
      <c r="M15" s="106"/>
    </row>
    <row r="16" spans="1:13" s="7" customFormat="1" ht="15" customHeight="1">
      <c r="A16" s="441"/>
      <c r="B16" s="442"/>
      <c r="C16" s="117"/>
      <c r="D16" s="122"/>
      <c r="E16" s="117" t="s">
        <v>358</v>
      </c>
      <c r="F16" s="429" t="s">
        <v>299</v>
      </c>
      <c r="G16" s="430"/>
      <c r="H16" s="430"/>
      <c r="I16" s="430"/>
      <c r="J16" s="430"/>
      <c r="K16" s="430"/>
      <c r="L16" s="430"/>
      <c r="M16" s="106"/>
    </row>
    <row r="17" spans="1:13" s="7" customFormat="1" ht="15" customHeight="1">
      <c r="A17" s="441"/>
      <c r="B17" s="442"/>
      <c r="C17" s="117"/>
      <c r="D17" s="122"/>
      <c r="E17" s="117" t="s">
        <v>359</v>
      </c>
      <c r="F17" s="429" t="s">
        <v>427</v>
      </c>
      <c r="G17" s="430"/>
      <c r="H17" s="430"/>
      <c r="I17" s="430"/>
      <c r="J17" s="430"/>
      <c r="K17" s="430"/>
      <c r="L17" s="430"/>
      <c r="M17" s="106"/>
    </row>
    <row r="18" spans="1:13" s="7" customFormat="1" ht="27.75" customHeight="1">
      <c r="A18" s="441"/>
      <c r="B18" s="442"/>
      <c r="C18" s="117"/>
      <c r="D18" s="122"/>
      <c r="E18" s="117" t="s">
        <v>360</v>
      </c>
      <c r="F18" s="421" t="s">
        <v>301</v>
      </c>
      <c r="G18" s="422"/>
      <c r="H18" s="422"/>
      <c r="I18" s="422"/>
      <c r="J18" s="422"/>
      <c r="K18" s="422"/>
      <c r="L18" s="422"/>
      <c r="M18" s="106"/>
    </row>
    <row r="19" spans="1:13" s="7" customFormat="1" ht="32.25" customHeight="1">
      <c r="A19" s="441"/>
      <c r="B19" s="442"/>
      <c r="C19" s="117"/>
      <c r="D19" s="122"/>
      <c r="E19" s="117" t="s">
        <v>361</v>
      </c>
      <c r="F19" s="421" t="s">
        <v>304</v>
      </c>
      <c r="G19" s="422"/>
      <c r="H19" s="422"/>
      <c r="I19" s="422"/>
      <c r="J19" s="422"/>
      <c r="K19" s="422"/>
      <c r="L19" s="422"/>
      <c r="M19" s="106"/>
    </row>
    <row r="20" spans="1:13" s="7" customFormat="1" ht="15" customHeight="1">
      <c r="A20" s="441"/>
      <c r="B20" s="442"/>
      <c r="C20" s="117"/>
      <c r="D20" s="122"/>
      <c r="E20" s="117" t="s">
        <v>362</v>
      </c>
      <c r="F20" s="429" t="s">
        <v>332</v>
      </c>
      <c r="G20" s="430"/>
      <c r="H20" s="430"/>
      <c r="I20" s="430"/>
      <c r="J20" s="430"/>
      <c r="K20" s="430"/>
      <c r="L20" s="430"/>
      <c r="M20" s="106"/>
    </row>
    <row r="21" spans="1:13" s="7" customFormat="1" ht="93.75" customHeight="1">
      <c r="A21" s="441"/>
      <c r="B21" s="442"/>
      <c r="C21" s="117"/>
      <c r="D21" s="122"/>
      <c r="E21" s="117" t="s">
        <v>363</v>
      </c>
      <c r="F21" s="421" t="s">
        <v>368</v>
      </c>
      <c r="G21" s="422"/>
      <c r="H21" s="422"/>
      <c r="I21" s="422"/>
      <c r="J21" s="422"/>
      <c r="K21" s="422"/>
      <c r="L21" s="422"/>
      <c r="M21" s="106"/>
    </row>
    <row r="22" spans="1:13" s="7" customFormat="1" ht="49.5" customHeight="1">
      <c r="A22" s="441"/>
      <c r="B22" s="442"/>
      <c r="C22" s="117"/>
      <c r="D22" s="122"/>
      <c r="E22" s="117" t="s">
        <v>364</v>
      </c>
      <c r="F22" s="421" t="s">
        <v>333</v>
      </c>
      <c r="G22" s="422"/>
      <c r="H22" s="422"/>
      <c r="I22" s="422"/>
      <c r="J22" s="422"/>
      <c r="K22" s="422"/>
      <c r="L22" s="422"/>
      <c r="M22" s="106"/>
    </row>
    <row r="23" spans="1:13" s="7" customFormat="1" ht="29.25" customHeight="1">
      <c r="A23" s="441"/>
      <c r="B23" s="442"/>
      <c r="C23" s="117"/>
      <c r="D23" s="122"/>
      <c r="E23" s="117" t="s">
        <v>365</v>
      </c>
      <c r="F23" s="421" t="s">
        <v>302</v>
      </c>
      <c r="G23" s="422"/>
      <c r="H23" s="422"/>
      <c r="I23" s="422"/>
      <c r="J23" s="422"/>
      <c r="K23" s="422"/>
      <c r="L23" s="423"/>
      <c r="M23" s="106"/>
    </row>
    <row r="24" spans="1:13" s="7" customFormat="1" ht="55.5" customHeight="1">
      <c r="A24" s="443"/>
      <c r="B24" s="444"/>
      <c r="C24" s="117"/>
      <c r="D24" s="117"/>
      <c r="E24" s="117" t="s">
        <v>366</v>
      </c>
      <c r="F24" s="421" t="s">
        <v>331</v>
      </c>
      <c r="G24" s="422"/>
      <c r="H24" s="422"/>
      <c r="I24" s="422"/>
      <c r="J24" s="422"/>
      <c r="K24" s="422"/>
      <c r="L24" s="423"/>
      <c r="M24" s="106"/>
    </row>
    <row r="25" spans="1:13" s="7" customFormat="1">
      <c r="A25" s="437" t="s">
        <v>66</v>
      </c>
      <c r="B25" s="437"/>
      <c r="C25" s="438" t="s">
        <v>67</v>
      </c>
      <c r="D25" s="438"/>
      <c r="E25" s="424" t="s">
        <v>68</v>
      </c>
      <c r="F25" s="425"/>
      <c r="G25" s="425"/>
      <c r="H25" s="425"/>
      <c r="I25" s="425"/>
      <c r="J25" s="425"/>
      <c r="K25" s="426"/>
      <c r="L25" s="107"/>
      <c r="M25" s="106"/>
    </row>
    <row r="26" spans="1:13" s="7" customFormat="1" ht="27.75" customHeight="1">
      <c r="A26" s="117" t="s">
        <v>69</v>
      </c>
      <c r="B26" s="122" t="s">
        <v>314</v>
      </c>
      <c r="C26" s="22" t="s">
        <v>70</v>
      </c>
      <c r="D26" s="58" t="s">
        <v>398</v>
      </c>
      <c r="E26" s="22" t="s">
        <v>71</v>
      </c>
      <c r="F26" s="427" t="s">
        <v>406</v>
      </c>
      <c r="G26" s="297"/>
      <c r="H26" s="297"/>
      <c r="I26" s="297"/>
      <c r="J26" s="297"/>
      <c r="K26" s="428"/>
      <c r="L26" s="110"/>
      <c r="M26" s="106"/>
    </row>
    <row r="27" spans="1:13" s="7" customFormat="1" ht="30" customHeight="1">
      <c r="A27" s="117" t="s">
        <v>72</v>
      </c>
      <c r="B27" s="122" t="s">
        <v>372</v>
      </c>
      <c r="C27" s="22" t="s">
        <v>400</v>
      </c>
      <c r="D27" s="58" t="s">
        <v>399</v>
      </c>
      <c r="E27" s="93" t="s">
        <v>407</v>
      </c>
      <c r="F27" s="427" t="s">
        <v>409</v>
      </c>
      <c r="G27" s="297"/>
      <c r="H27" s="297"/>
      <c r="I27" s="297"/>
      <c r="J27" s="297"/>
      <c r="K27" s="428"/>
      <c r="L27" s="109"/>
      <c r="M27" s="106"/>
    </row>
    <row r="28" spans="1:13" s="7" customFormat="1" ht="49.5" customHeight="1">
      <c r="A28" s="117" t="s">
        <v>373</v>
      </c>
      <c r="B28" s="122" t="s">
        <v>380</v>
      </c>
      <c r="C28" s="22" t="s">
        <v>401</v>
      </c>
      <c r="D28" s="54" t="s">
        <v>432</v>
      </c>
      <c r="E28" s="94" t="s">
        <v>408</v>
      </c>
      <c r="F28" s="404" t="s">
        <v>410</v>
      </c>
      <c r="G28" s="405"/>
      <c r="H28" s="405"/>
      <c r="I28" s="405"/>
      <c r="J28" s="405"/>
      <c r="K28" s="406"/>
      <c r="L28" s="109"/>
      <c r="M28" s="106"/>
    </row>
    <row r="29" spans="1:13" s="7" customFormat="1" ht="39" customHeight="1">
      <c r="A29" s="117" t="s">
        <v>374</v>
      </c>
      <c r="B29" s="122" t="s">
        <v>305</v>
      </c>
      <c r="C29" s="22" t="s">
        <v>403</v>
      </c>
      <c r="D29" s="58" t="s">
        <v>405</v>
      </c>
      <c r="E29" s="61" t="s">
        <v>411</v>
      </c>
      <c r="F29" s="413" t="s">
        <v>412</v>
      </c>
      <c r="G29" s="414"/>
      <c r="H29" s="414"/>
      <c r="I29" s="414"/>
      <c r="J29" s="414"/>
      <c r="K29" s="336"/>
      <c r="L29" s="107"/>
      <c r="M29" s="106"/>
    </row>
    <row r="30" spans="1:13" s="7" customFormat="1" ht="1.5" customHeight="1">
      <c r="A30" s="117" t="s">
        <v>375</v>
      </c>
      <c r="B30" s="122"/>
      <c r="C30" s="22"/>
      <c r="D30" s="22"/>
      <c r="E30" s="22"/>
      <c r="F30" s="111"/>
      <c r="G30" s="112"/>
      <c r="H30" s="112"/>
      <c r="I30" s="112"/>
      <c r="J30" s="112"/>
      <c r="K30" s="113"/>
      <c r="L30" s="114"/>
      <c r="M30" s="106"/>
    </row>
    <row r="31" spans="1:13" s="7" customFormat="1" ht="47.25" customHeight="1">
      <c r="A31" s="117" t="s">
        <v>375</v>
      </c>
      <c r="B31" s="122" t="s">
        <v>381</v>
      </c>
      <c r="C31" s="22"/>
      <c r="D31" s="59"/>
      <c r="E31" s="22" t="s">
        <v>429</v>
      </c>
      <c r="F31" s="415" t="s">
        <v>430</v>
      </c>
      <c r="G31" s="416"/>
      <c r="H31" s="416"/>
      <c r="I31" s="416"/>
      <c r="J31" s="416"/>
      <c r="K31" s="417"/>
      <c r="L31" s="114"/>
      <c r="M31" s="106"/>
    </row>
    <row r="32" spans="1:13" s="7" customFormat="1" ht="27.75" customHeight="1">
      <c r="A32" s="117" t="s">
        <v>376</v>
      </c>
      <c r="B32" s="122" t="s">
        <v>382</v>
      </c>
      <c r="C32" s="22"/>
      <c r="D32" s="22"/>
      <c r="E32" s="22"/>
      <c r="F32" s="407"/>
      <c r="G32" s="408"/>
      <c r="H32" s="408"/>
      <c r="I32" s="408"/>
      <c r="J32" s="408"/>
      <c r="K32" s="409"/>
      <c r="L32" s="107"/>
      <c r="M32" s="106"/>
    </row>
    <row r="33" spans="1:13" s="7" customFormat="1" ht="27.75" customHeight="1">
      <c r="A33" s="117" t="s">
        <v>377</v>
      </c>
      <c r="B33" s="124" t="s">
        <v>383</v>
      </c>
      <c r="C33" s="22"/>
      <c r="D33" s="22"/>
      <c r="E33" s="22"/>
      <c r="F33" s="407"/>
      <c r="G33" s="408"/>
      <c r="H33" s="408"/>
      <c r="I33" s="408"/>
      <c r="J33" s="408"/>
      <c r="K33" s="409"/>
      <c r="L33" s="107"/>
      <c r="M33" s="106"/>
    </row>
    <row r="34" spans="1:13" s="7" customFormat="1" ht="27.75" customHeight="1">
      <c r="A34" s="117" t="s">
        <v>378</v>
      </c>
      <c r="B34" s="125" t="s">
        <v>384</v>
      </c>
      <c r="C34" s="22"/>
      <c r="D34" s="22"/>
      <c r="E34" s="22"/>
      <c r="F34" s="407"/>
      <c r="G34" s="408"/>
      <c r="H34" s="408"/>
      <c r="I34" s="408"/>
      <c r="J34" s="408"/>
      <c r="K34" s="409"/>
      <c r="L34" s="109"/>
      <c r="M34" s="106"/>
    </row>
    <row r="35" spans="1:13" s="7" customFormat="1" ht="27.75" customHeight="1">
      <c r="A35" s="117" t="s">
        <v>379</v>
      </c>
      <c r="B35" s="125" t="s">
        <v>385</v>
      </c>
      <c r="C35" s="22"/>
      <c r="D35" s="22"/>
      <c r="E35" s="22"/>
      <c r="F35" s="418"/>
      <c r="G35" s="419"/>
      <c r="H35" s="419"/>
      <c r="I35" s="419"/>
      <c r="J35" s="419"/>
      <c r="K35" s="420"/>
      <c r="L35" s="107"/>
      <c r="M35" s="106"/>
    </row>
    <row r="36" spans="1:13" s="7" customFormat="1" ht="27.75" customHeight="1">
      <c r="A36" s="117" t="s">
        <v>379</v>
      </c>
      <c r="B36" s="122" t="s">
        <v>310</v>
      </c>
      <c r="C36" s="22"/>
      <c r="D36" s="22"/>
      <c r="E36" s="22"/>
      <c r="F36" s="407"/>
      <c r="G36" s="408"/>
      <c r="H36" s="408"/>
      <c r="I36" s="408"/>
      <c r="J36" s="408"/>
      <c r="K36" s="409"/>
      <c r="L36" s="107"/>
      <c r="M36" s="106"/>
    </row>
    <row r="37" spans="1:13" s="7" customFormat="1">
      <c r="A37" s="445" t="s">
        <v>73</v>
      </c>
      <c r="B37" s="445"/>
      <c r="C37" s="438" t="s">
        <v>74</v>
      </c>
      <c r="D37" s="438"/>
      <c r="E37" s="434" t="s">
        <v>75</v>
      </c>
      <c r="F37" s="435"/>
      <c r="G37" s="435"/>
      <c r="H37" s="435"/>
      <c r="I37" s="435"/>
      <c r="J37" s="435"/>
      <c r="K37" s="436"/>
      <c r="L37" s="107"/>
      <c r="M37" s="106"/>
    </row>
    <row r="38" spans="1:13" ht="48.75" customHeight="1">
      <c r="A38" s="117" t="s">
        <v>76</v>
      </c>
      <c r="B38" s="122" t="s">
        <v>392</v>
      </c>
      <c r="C38" s="22" t="s">
        <v>77</v>
      </c>
      <c r="D38" s="59" t="s">
        <v>537</v>
      </c>
      <c r="E38" s="22" t="s">
        <v>78</v>
      </c>
      <c r="F38" s="410" t="s">
        <v>543</v>
      </c>
      <c r="G38" s="411"/>
      <c r="H38" s="411"/>
      <c r="I38" s="411"/>
      <c r="J38" s="411"/>
      <c r="K38" s="412"/>
      <c r="L38" s="105"/>
      <c r="M38" s="65"/>
    </row>
    <row r="39" spans="1:13" ht="60">
      <c r="A39" s="117" t="s">
        <v>79</v>
      </c>
      <c r="B39" s="122" t="s">
        <v>391</v>
      </c>
      <c r="C39" s="22" t="s">
        <v>80</v>
      </c>
      <c r="D39" s="59" t="s">
        <v>538</v>
      </c>
      <c r="E39" s="22" t="s">
        <v>81</v>
      </c>
      <c r="F39" s="410" t="s">
        <v>544</v>
      </c>
      <c r="G39" s="411"/>
      <c r="H39" s="411"/>
      <c r="I39" s="411"/>
      <c r="J39" s="411"/>
      <c r="K39" s="412"/>
      <c r="L39" s="105"/>
      <c r="M39" s="65"/>
    </row>
    <row r="40" spans="1:13" ht="45">
      <c r="A40" s="117" t="s">
        <v>159</v>
      </c>
      <c r="B40" s="122" t="s">
        <v>433</v>
      </c>
      <c r="C40" s="22" t="s">
        <v>434</v>
      </c>
      <c r="D40" s="59" t="s">
        <v>540</v>
      </c>
      <c r="E40" s="22" t="s">
        <v>435</v>
      </c>
      <c r="F40" s="410" t="s">
        <v>545</v>
      </c>
      <c r="G40" s="411"/>
      <c r="H40" s="411"/>
      <c r="I40" s="411"/>
      <c r="J40" s="412"/>
      <c r="K40" s="115"/>
      <c r="L40" s="108"/>
      <c r="M40" s="65"/>
    </row>
    <row r="41" spans="1:13" ht="60">
      <c r="A41" s="117" t="s">
        <v>160</v>
      </c>
      <c r="B41" s="122" t="s">
        <v>311</v>
      </c>
      <c r="C41" s="22" t="s">
        <v>539</v>
      </c>
      <c r="D41" s="135" t="s">
        <v>541</v>
      </c>
      <c r="E41" s="94" t="s">
        <v>542</v>
      </c>
      <c r="F41" s="410" t="s">
        <v>546</v>
      </c>
      <c r="G41" s="411"/>
      <c r="H41" s="411"/>
      <c r="I41" s="411"/>
      <c r="J41" s="412"/>
      <c r="K41" s="105"/>
      <c r="L41" s="105"/>
    </row>
    <row r="42" spans="1:13" ht="30">
      <c r="A42" s="117" t="s">
        <v>386</v>
      </c>
      <c r="B42" s="125" t="s">
        <v>393</v>
      </c>
      <c r="C42" s="22"/>
      <c r="D42" s="59"/>
      <c r="E42" s="22"/>
      <c r="F42" s="407"/>
      <c r="G42" s="408"/>
      <c r="H42" s="408"/>
      <c r="I42" s="408"/>
      <c r="J42" s="409"/>
      <c r="K42" s="105"/>
      <c r="L42" s="105"/>
    </row>
    <row r="43" spans="1:13" ht="30">
      <c r="A43" s="117" t="s">
        <v>387</v>
      </c>
      <c r="B43" s="122" t="s">
        <v>396</v>
      </c>
      <c r="C43" s="22"/>
      <c r="D43" s="22"/>
      <c r="E43" s="22"/>
      <c r="F43" s="407"/>
      <c r="G43" s="408"/>
      <c r="H43" s="408"/>
      <c r="I43" s="408"/>
      <c r="J43" s="409"/>
      <c r="K43" s="105"/>
      <c r="L43" s="105"/>
    </row>
    <row r="44" spans="1:13" ht="30">
      <c r="A44" s="117" t="s">
        <v>388</v>
      </c>
      <c r="B44" s="125" t="s">
        <v>337</v>
      </c>
      <c r="C44" s="22"/>
      <c r="D44" s="22"/>
      <c r="E44" s="22"/>
      <c r="F44" s="407"/>
      <c r="G44" s="408"/>
      <c r="H44" s="408"/>
      <c r="I44" s="408"/>
      <c r="J44" s="409"/>
      <c r="K44" s="105"/>
      <c r="L44" s="105"/>
    </row>
    <row r="45" spans="1:13" ht="30">
      <c r="A45" s="117" t="s">
        <v>389</v>
      </c>
      <c r="B45" s="125" t="s">
        <v>395</v>
      </c>
      <c r="C45" s="22"/>
      <c r="D45" s="22"/>
      <c r="E45" s="22"/>
      <c r="F45" s="407"/>
      <c r="G45" s="408"/>
      <c r="H45" s="408"/>
      <c r="I45" s="408"/>
      <c r="J45" s="409"/>
      <c r="K45" s="105"/>
      <c r="L45" s="105"/>
    </row>
    <row r="46" spans="1:13">
      <c r="A46" s="117" t="s">
        <v>390</v>
      </c>
      <c r="B46" s="125" t="s">
        <v>394</v>
      </c>
      <c r="C46" s="22"/>
      <c r="D46" s="22"/>
      <c r="E46" s="22"/>
      <c r="F46" s="407"/>
      <c r="G46" s="408"/>
      <c r="H46" s="408"/>
      <c r="I46" s="408"/>
      <c r="J46" s="409"/>
      <c r="K46" s="108"/>
      <c r="L46" s="108"/>
    </row>
    <row r="47" spans="1:13">
      <c r="A47" s="126"/>
      <c r="B47" s="126"/>
      <c r="J47" s="116"/>
    </row>
    <row r="48" spans="1:13">
      <c r="J48" s="105"/>
    </row>
    <row r="49" spans="10:11">
      <c r="J49" s="105"/>
    </row>
    <row r="50" spans="10:11">
      <c r="J50" s="105"/>
      <c r="K50" t="s">
        <v>371</v>
      </c>
    </row>
  </sheetData>
  <mergeCells count="50">
    <mergeCell ref="A2:L2"/>
    <mergeCell ref="E3:L3"/>
    <mergeCell ref="E37:K37"/>
    <mergeCell ref="F38:K38"/>
    <mergeCell ref="F39:K39"/>
    <mergeCell ref="C3:D3"/>
    <mergeCell ref="C37:D37"/>
    <mergeCell ref="C25:D25"/>
    <mergeCell ref="A3:B24"/>
    <mergeCell ref="A25:B25"/>
    <mergeCell ref="A37:B37"/>
    <mergeCell ref="F4:L4"/>
    <mergeCell ref="F5:L5"/>
    <mergeCell ref="F6:L6"/>
    <mergeCell ref="F7:L7"/>
    <mergeCell ref="F8:L8"/>
    <mergeCell ref="F9:L9"/>
    <mergeCell ref="F10:L10"/>
    <mergeCell ref="F11:L11"/>
    <mergeCell ref="F12:L12"/>
    <mergeCell ref="F13:L13"/>
    <mergeCell ref="F24:L24"/>
    <mergeCell ref="E25:K25"/>
    <mergeCell ref="F26:K26"/>
    <mergeCell ref="F27:K27"/>
    <mergeCell ref="F14:L14"/>
    <mergeCell ref="F15:L15"/>
    <mergeCell ref="F16:L16"/>
    <mergeCell ref="F17:L17"/>
    <mergeCell ref="F18:L18"/>
    <mergeCell ref="F20:L20"/>
    <mergeCell ref="F19:L19"/>
    <mergeCell ref="F21:L21"/>
    <mergeCell ref="F22:L22"/>
    <mergeCell ref="F23:L23"/>
    <mergeCell ref="F28:K28"/>
    <mergeCell ref="F46:J46"/>
    <mergeCell ref="F40:J40"/>
    <mergeCell ref="F42:J42"/>
    <mergeCell ref="F43:J43"/>
    <mergeCell ref="F44:J44"/>
    <mergeCell ref="F45:J45"/>
    <mergeCell ref="F41:J41"/>
    <mergeCell ref="F36:K36"/>
    <mergeCell ref="F29:K29"/>
    <mergeCell ref="F31:K31"/>
    <mergeCell ref="F32:K32"/>
    <mergeCell ref="F33:K33"/>
    <mergeCell ref="F35:K35"/>
    <mergeCell ref="F34:K34"/>
  </mergeCells>
  <phoneticPr fontId="1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workbookViewId="0">
      <selection activeCell="B4" sqref="B4"/>
    </sheetView>
  </sheetViews>
  <sheetFormatPr baseColWidth="10" defaultColWidth="9.140625" defaultRowHeight="15"/>
  <cols>
    <col min="1" max="1" width="30.7109375" customWidth="1"/>
    <col min="2" max="2" width="60.7109375" customWidth="1"/>
    <col min="3" max="3" width="9.140625" customWidth="1"/>
    <col min="4" max="4" width="0.42578125" customWidth="1"/>
    <col min="5" max="6" width="9.140625" hidden="1" customWidth="1"/>
    <col min="7" max="7" width="26.7109375" customWidth="1"/>
    <col min="8" max="8" width="53.7109375" customWidth="1"/>
  </cols>
  <sheetData>
    <row r="1" spans="1:8" ht="15.75" thickBot="1"/>
    <row r="2" spans="1:8" ht="16.5" thickBot="1">
      <c r="A2" s="456" t="s">
        <v>504</v>
      </c>
      <c r="B2" s="456"/>
      <c r="G2" s="457" t="s">
        <v>505</v>
      </c>
      <c r="H2" s="458"/>
    </row>
    <row r="3" spans="1:8" ht="50.1" customHeight="1" thickBot="1">
      <c r="A3" s="454" t="s">
        <v>445</v>
      </c>
      <c r="B3" s="455"/>
      <c r="F3" s="44"/>
      <c r="G3" s="459" t="s">
        <v>466</v>
      </c>
      <c r="H3" s="460"/>
    </row>
    <row r="4" spans="1:8" ht="32.25" customHeight="1" thickBot="1">
      <c r="A4" s="10" t="s">
        <v>82</v>
      </c>
      <c r="B4" s="127" t="s">
        <v>446</v>
      </c>
      <c r="G4" s="45" t="s">
        <v>82</v>
      </c>
      <c r="H4" s="11" t="s">
        <v>467</v>
      </c>
    </row>
    <row r="5" spans="1:8" ht="25.5" customHeight="1" thickBot="1">
      <c r="A5" s="10" t="s">
        <v>83</v>
      </c>
      <c r="B5" s="129" t="s">
        <v>447</v>
      </c>
      <c r="G5" s="45" t="s">
        <v>83</v>
      </c>
      <c r="H5" s="46" t="s">
        <v>468</v>
      </c>
    </row>
    <row r="6" spans="1:8" ht="27.75" customHeight="1" thickBot="1">
      <c r="A6" s="10" t="s">
        <v>84</v>
      </c>
      <c r="B6" s="129" t="s">
        <v>448</v>
      </c>
      <c r="G6" s="45" t="s">
        <v>84</v>
      </c>
      <c r="H6" s="46" t="s">
        <v>448</v>
      </c>
    </row>
    <row r="7" spans="1:8" ht="37.5" customHeight="1" thickBot="1">
      <c r="A7" s="12" t="s">
        <v>85</v>
      </c>
      <c r="B7" s="13" t="s">
        <v>449</v>
      </c>
      <c r="G7" s="47" t="s">
        <v>85</v>
      </c>
      <c r="H7" s="133" t="s">
        <v>469</v>
      </c>
    </row>
    <row r="8" spans="1:8" ht="23.25" customHeight="1" thickBot="1">
      <c r="A8" s="14" t="s">
        <v>86</v>
      </c>
      <c r="B8" s="130" t="s">
        <v>450</v>
      </c>
      <c r="G8" s="49" t="s">
        <v>86</v>
      </c>
      <c r="H8" s="50" t="s">
        <v>471</v>
      </c>
    </row>
    <row r="9" spans="1:8" ht="36" customHeight="1" thickBot="1">
      <c r="A9" s="15" t="s">
        <v>87</v>
      </c>
      <c r="B9" s="131" t="s">
        <v>451</v>
      </c>
      <c r="G9" s="50" t="s">
        <v>87</v>
      </c>
      <c r="H9" s="133" t="s">
        <v>470</v>
      </c>
    </row>
    <row r="10" spans="1:8" ht="22.5" customHeight="1" thickBot="1">
      <c r="A10" s="12" t="s">
        <v>88</v>
      </c>
      <c r="B10" s="131" t="s">
        <v>452</v>
      </c>
      <c r="G10" s="47" t="s">
        <v>88</v>
      </c>
      <c r="H10" s="131" t="s">
        <v>472</v>
      </c>
    </row>
    <row r="11" spans="1:8" ht="30" customHeight="1" thickBot="1">
      <c r="A11" s="15" t="s">
        <v>89</v>
      </c>
      <c r="B11" s="132" t="s">
        <v>453</v>
      </c>
      <c r="G11" s="50" t="s">
        <v>89</v>
      </c>
      <c r="H11" s="130" t="s">
        <v>473</v>
      </c>
    </row>
    <row r="12" spans="1:8" ht="51" customHeight="1" thickBot="1">
      <c r="A12" s="12" t="s">
        <v>90</v>
      </c>
      <c r="B12" s="133" t="s">
        <v>454</v>
      </c>
      <c r="G12" s="47" t="s">
        <v>90</v>
      </c>
      <c r="H12" s="131" t="s">
        <v>474</v>
      </c>
    </row>
    <row r="13" spans="1:8" ht="45" customHeight="1" thickBot="1">
      <c r="A13" s="12" t="s">
        <v>91</v>
      </c>
      <c r="B13" s="131" t="s">
        <v>455</v>
      </c>
      <c r="G13" s="47" t="s">
        <v>91</v>
      </c>
      <c r="H13" s="131" t="s">
        <v>455</v>
      </c>
    </row>
    <row r="14" spans="1:8" ht="47.25" customHeight="1" thickBot="1">
      <c r="A14" s="12" t="s">
        <v>92</v>
      </c>
      <c r="B14" s="131" t="s">
        <v>456</v>
      </c>
      <c r="G14" s="47" t="s">
        <v>92</v>
      </c>
      <c r="H14" s="131" t="s">
        <v>475</v>
      </c>
    </row>
    <row r="15" spans="1:8" ht="17.25" customHeight="1" thickBot="1">
      <c r="A15" s="15" t="s">
        <v>93</v>
      </c>
      <c r="B15" s="130" t="s">
        <v>458</v>
      </c>
      <c r="G15" s="50" t="s">
        <v>93</v>
      </c>
      <c r="H15" s="130" t="s">
        <v>476</v>
      </c>
    </row>
    <row r="16" spans="1:8" ht="29.25" customHeight="1" thickBot="1">
      <c r="A16" s="12" t="s">
        <v>94</v>
      </c>
      <c r="B16" s="131" t="s">
        <v>459</v>
      </c>
      <c r="G16" s="47" t="s">
        <v>94</v>
      </c>
      <c r="H16" s="131" t="s">
        <v>477</v>
      </c>
    </row>
    <row r="17" spans="1:8" ht="29.25" customHeight="1" thickBot="1">
      <c r="A17" s="12" t="s">
        <v>95</v>
      </c>
      <c r="B17" s="131" t="s">
        <v>460</v>
      </c>
      <c r="G17" s="47" t="s">
        <v>95</v>
      </c>
      <c r="H17" s="131" t="s">
        <v>478</v>
      </c>
    </row>
    <row r="18" spans="1:8" ht="18" customHeight="1" thickBot="1">
      <c r="A18" s="12" t="s">
        <v>96</v>
      </c>
      <c r="B18" s="131" t="s">
        <v>461</v>
      </c>
      <c r="G18" s="47" t="s">
        <v>96</v>
      </c>
      <c r="H18" s="131" t="s">
        <v>478</v>
      </c>
    </row>
    <row r="19" spans="1:8" ht="50.1" customHeight="1" thickBot="1">
      <c r="A19" s="12" t="s">
        <v>97</v>
      </c>
      <c r="B19" s="13"/>
      <c r="G19" s="51" t="s">
        <v>97</v>
      </c>
      <c r="H19" s="48"/>
    </row>
    <row r="20" spans="1:8" ht="29.25" customHeight="1" thickBot="1">
      <c r="A20" s="8" t="s">
        <v>98</v>
      </c>
      <c r="B20" s="131" t="s">
        <v>462</v>
      </c>
      <c r="G20" s="52" t="s">
        <v>98</v>
      </c>
      <c r="H20" s="131" t="s">
        <v>479</v>
      </c>
    </row>
    <row r="21" spans="1:8" ht="29.25" customHeight="1" thickBot="1">
      <c r="A21" s="12" t="s">
        <v>99</v>
      </c>
      <c r="B21" s="131" t="s">
        <v>463</v>
      </c>
      <c r="G21" s="47" t="s">
        <v>99</v>
      </c>
      <c r="H21" s="131" t="s">
        <v>480</v>
      </c>
    </row>
    <row r="22" spans="1:8" ht="70.150000000000006" customHeight="1" thickBot="1">
      <c r="A22" s="12" t="s">
        <v>100</v>
      </c>
      <c r="B22" s="131" t="s">
        <v>464</v>
      </c>
      <c r="G22" s="47" t="s">
        <v>100</v>
      </c>
      <c r="H22" s="131" t="s">
        <v>481</v>
      </c>
    </row>
    <row r="23" spans="1:8" ht="15.75" thickBot="1">
      <c r="A23" s="452" t="s">
        <v>506</v>
      </c>
      <c r="B23" s="453"/>
      <c r="G23" s="452" t="s">
        <v>507</v>
      </c>
      <c r="H23" s="453"/>
    </row>
    <row r="24" spans="1:8">
      <c r="A24" s="446" t="s">
        <v>509</v>
      </c>
      <c r="B24" s="447"/>
      <c r="G24" s="446" t="s">
        <v>510</v>
      </c>
      <c r="H24" s="447"/>
    </row>
    <row r="25" spans="1:8">
      <c r="A25" s="448"/>
      <c r="B25" s="449"/>
      <c r="G25" s="448"/>
      <c r="H25" s="449"/>
    </row>
    <row r="26" spans="1:8" ht="15.75" thickBot="1">
      <c r="A26" s="450"/>
      <c r="B26" s="451"/>
      <c r="G26" s="450"/>
      <c r="H26" s="451"/>
    </row>
    <row r="27" spans="1:8" ht="30.75" thickBot="1">
      <c r="A27" s="10" t="s">
        <v>82</v>
      </c>
      <c r="B27" s="127" t="s">
        <v>494</v>
      </c>
      <c r="G27" s="10" t="s">
        <v>82</v>
      </c>
      <c r="H27" s="127" t="s">
        <v>502</v>
      </c>
    </row>
    <row r="28" spans="1:8" ht="15.75" thickBot="1">
      <c r="A28" s="10" t="s">
        <v>83</v>
      </c>
      <c r="B28" s="128" t="s">
        <v>447</v>
      </c>
      <c r="G28" s="10" t="s">
        <v>83</v>
      </c>
      <c r="H28" s="128" t="s">
        <v>447</v>
      </c>
    </row>
    <row r="29" spans="1:8" ht="15.75" thickBot="1">
      <c r="A29" s="10" t="s">
        <v>84</v>
      </c>
      <c r="B29" s="128" t="s">
        <v>448</v>
      </c>
      <c r="G29" s="10" t="s">
        <v>84</v>
      </c>
      <c r="H29" s="128" t="s">
        <v>448</v>
      </c>
    </row>
    <row r="30" spans="1:8" ht="45.75" thickBot="1">
      <c r="A30" s="12" t="s">
        <v>85</v>
      </c>
      <c r="B30" s="131" t="s">
        <v>495</v>
      </c>
      <c r="G30" s="12" t="s">
        <v>85</v>
      </c>
      <c r="H30" s="131" t="s">
        <v>503</v>
      </c>
    </row>
    <row r="31" spans="1:8" ht="15.75" thickBot="1">
      <c r="A31" s="12" t="s">
        <v>86</v>
      </c>
      <c r="B31" s="130" t="s">
        <v>482</v>
      </c>
      <c r="G31" s="12" t="s">
        <v>86</v>
      </c>
      <c r="H31" s="130" t="s">
        <v>482</v>
      </c>
    </row>
    <row r="32" spans="1:8" ht="15.75" thickBot="1">
      <c r="A32" s="15" t="s">
        <v>87</v>
      </c>
      <c r="B32" s="131" t="s">
        <v>483</v>
      </c>
      <c r="G32" s="15" t="s">
        <v>87</v>
      </c>
      <c r="H32" s="131" t="s">
        <v>497</v>
      </c>
    </row>
    <row r="33" spans="1:8" ht="15.75" thickBot="1">
      <c r="A33" s="12" t="s">
        <v>88</v>
      </c>
      <c r="B33" s="131" t="s">
        <v>484</v>
      </c>
      <c r="G33" s="12" t="s">
        <v>88</v>
      </c>
      <c r="H33" s="131" t="s">
        <v>483</v>
      </c>
    </row>
    <row r="34" spans="1:8" ht="30.75" thickBot="1">
      <c r="A34" s="15" t="s">
        <v>89</v>
      </c>
      <c r="B34" s="130" t="s">
        <v>485</v>
      </c>
      <c r="G34" s="15" t="s">
        <v>89</v>
      </c>
      <c r="H34" s="130" t="s">
        <v>498</v>
      </c>
    </row>
    <row r="35" spans="1:8" ht="45.75" thickBot="1">
      <c r="A35" s="12" t="s">
        <v>90</v>
      </c>
      <c r="B35" s="133" t="s">
        <v>486</v>
      </c>
      <c r="G35" s="12" t="s">
        <v>90</v>
      </c>
      <c r="H35" s="133" t="s">
        <v>499</v>
      </c>
    </row>
    <row r="36" spans="1:8" ht="60.75" thickBot="1">
      <c r="A36" s="12" t="s">
        <v>91</v>
      </c>
      <c r="B36" s="131" t="s">
        <v>487</v>
      </c>
      <c r="G36" s="12" t="s">
        <v>91</v>
      </c>
      <c r="H36" s="131" t="s">
        <v>500</v>
      </c>
    </row>
    <row r="37" spans="1:8" ht="60.75" thickBot="1">
      <c r="A37" s="12" t="s">
        <v>92</v>
      </c>
      <c r="B37" s="131" t="s">
        <v>488</v>
      </c>
      <c r="G37" s="12" t="s">
        <v>92</v>
      </c>
      <c r="H37" s="131" t="s">
        <v>488</v>
      </c>
    </row>
    <row r="38" spans="1:8" ht="15.75" thickBot="1">
      <c r="A38" s="15" t="s">
        <v>93</v>
      </c>
      <c r="B38" s="130" t="s">
        <v>457</v>
      </c>
      <c r="G38" s="15" t="s">
        <v>93</v>
      </c>
      <c r="H38" s="130" t="s">
        <v>457</v>
      </c>
    </row>
    <row r="39" spans="1:8" ht="15.75" thickBot="1">
      <c r="A39" s="12" t="s">
        <v>94</v>
      </c>
      <c r="B39" s="131" t="s">
        <v>489</v>
      </c>
      <c r="G39" s="12" t="s">
        <v>94</v>
      </c>
      <c r="H39" s="131" t="s">
        <v>459</v>
      </c>
    </row>
    <row r="40" spans="1:8" ht="30.75" thickBot="1">
      <c r="A40" s="12" t="s">
        <v>95</v>
      </c>
      <c r="B40" s="131" t="s">
        <v>490</v>
      </c>
      <c r="G40" s="12" t="s">
        <v>95</v>
      </c>
      <c r="H40" s="131" t="s">
        <v>490</v>
      </c>
    </row>
    <row r="41" spans="1:8" ht="30.75" thickBot="1">
      <c r="A41" s="12" t="s">
        <v>96</v>
      </c>
      <c r="B41" s="131" t="s">
        <v>491</v>
      </c>
      <c r="G41" s="12" t="s">
        <v>96</v>
      </c>
      <c r="H41" s="131" t="s">
        <v>491</v>
      </c>
    </row>
    <row r="42" spans="1:8" ht="30.75" thickBot="1">
      <c r="A42" s="12" t="s">
        <v>97</v>
      </c>
      <c r="B42" s="131"/>
      <c r="G42" s="12" t="s">
        <v>97</v>
      </c>
      <c r="H42" s="131"/>
    </row>
    <row r="43" spans="1:8" ht="15.75" thickBot="1">
      <c r="A43" s="8" t="s">
        <v>98</v>
      </c>
      <c r="B43" s="131" t="s">
        <v>479</v>
      </c>
      <c r="G43" s="8" t="s">
        <v>98</v>
      </c>
      <c r="H43" s="131" t="s">
        <v>479</v>
      </c>
    </row>
    <row r="44" spans="1:8" ht="45.75" thickBot="1">
      <c r="A44" s="12" t="s">
        <v>99</v>
      </c>
      <c r="B44" s="131" t="s">
        <v>492</v>
      </c>
      <c r="G44" s="12" t="s">
        <v>99</v>
      </c>
      <c r="H44" s="131" t="s">
        <v>501</v>
      </c>
    </row>
    <row r="45" spans="1:8" ht="45.75" thickBot="1">
      <c r="A45" s="12" t="s">
        <v>100</v>
      </c>
      <c r="B45" s="131" t="s">
        <v>496</v>
      </c>
      <c r="G45" s="12" t="s">
        <v>100</v>
      </c>
      <c r="H45" s="131" t="s">
        <v>493</v>
      </c>
    </row>
    <row r="46" spans="1:8" ht="15.75" customHeight="1" thickBot="1">
      <c r="A46" s="452" t="s">
        <v>508</v>
      </c>
      <c r="B46" s="453"/>
      <c r="G46" s="452" t="s">
        <v>519</v>
      </c>
      <c r="H46" s="453"/>
    </row>
    <row r="47" spans="1:8" ht="15" customHeight="1">
      <c r="A47" s="446" t="s">
        <v>511</v>
      </c>
      <c r="B47" s="447"/>
      <c r="G47" s="446" t="s">
        <v>520</v>
      </c>
      <c r="H47" s="447"/>
    </row>
    <row r="48" spans="1:8" ht="15.75" customHeight="1">
      <c r="A48" s="448"/>
      <c r="B48" s="449"/>
      <c r="G48" s="448"/>
      <c r="H48" s="449"/>
    </row>
    <row r="49" spans="1:8" ht="15.75" customHeight="1" thickBot="1">
      <c r="A49" s="450"/>
      <c r="B49" s="451"/>
      <c r="G49" s="450"/>
      <c r="H49" s="451"/>
    </row>
    <row r="50" spans="1:8" ht="15.75" thickBot="1">
      <c r="A50" s="10" t="s">
        <v>82</v>
      </c>
      <c r="B50" s="134" t="s">
        <v>512</v>
      </c>
      <c r="G50" s="10" t="s">
        <v>82</v>
      </c>
      <c r="H50" s="133"/>
    </row>
    <row r="51" spans="1:8" ht="15.75" thickBot="1">
      <c r="A51" s="10" t="s">
        <v>83</v>
      </c>
      <c r="B51" s="128" t="s">
        <v>447</v>
      </c>
      <c r="G51" s="10" t="s">
        <v>83</v>
      </c>
      <c r="H51" s="128"/>
    </row>
    <row r="52" spans="1:8" ht="15.75" thickBot="1">
      <c r="A52" s="10" t="s">
        <v>84</v>
      </c>
      <c r="B52" s="128" t="s">
        <v>448</v>
      </c>
      <c r="G52" s="10" t="s">
        <v>84</v>
      </c>
      <c r="H52" s="128"/>
    </row>
    <row r="53" spans="1:8" ht="45.75" thickBot="1">
      <c r="A53" s="12" t="s">
        <v>85</v>
      </c>
      <c r="B53" s="131" t="s">
        <v>518</v>
      </c>
      <c r="G53" s="12" t="s">
        <v>85</v>
      </c>
      <c r="H53" s="131"/>
    </row>
    <row r="54" spans="1:8" ht="15.75" thickBot="1">
      <c r="A54" s="12" t="s">
        <v>86</v>
      </c>
      <c r="B54" s="130" t="s">
        <v>482</v>
      </c>
      <c r="G54" s="12" t="s">
        <v>86</v>
      </c>
      <c r="H54" s="130"/>
    </row>
    <row r="55" spans="1:8" ht="15.75" thickBot="1">
      <c r="A55" s="15" t="s">
        <v>87</v>
      </c>
      <c r="B55" s="131" t="s">
        <v>513</v>
      </c>
      <c r="G55" s="15" t="s">
        <v>87</v>
      </c>
      <c r="H55" s="131"/>
    </row>
    <row r="56" spans="1:8" ht="15.75" thickBot="1">
      <c r="A56" s="12" t="s">
        <v>88</v>
      </c>
      <c r="B56" s="131" t="s">
        <v>497</v>
      </c>
      <c r="G56" s="12" t="s">
        <v>88</v>
      </c>
      <c r="H56" s="131"/>
    </row>
    <row r="57" spans="1:8" ht="30.75" thickBot="1">
      <c r="A57" s="15" t="s">
        <v>89</v>
      </c>
      <c r="B57" s="130" t="s">
        <v>498</v>
      </c>
      <c r="G57" s="15" t="s">
        <v>89</v>
      </c>
      <c r="H57" s="130"/>
    </row>
    <row r="58" spans="1:8" ht="30.75" thickBot="1">
      <c r="A58" s="12" t="s">
        <v>90</v>
      </c>
      <c r="B58" s="133" t="s">
        <v>514</v>
      </c>
      <c r="G58" s="12" t="s">
        <v>90</v>
      </c>
      <c r="H58" s="133"/>
    </row>
    <row r="59" spans="1:8" ht="60.75" thickBot="1">
      <c r="A59" s="12" t="s">
        <v>91</v>
      </c>
      <c r="B59" s="131" t="s">
        <v>515</v>
      </c>
      <c r="G59" s="12" t="s">
        <v>91</v>
      </c>
      <c r="H59" s="131"/>
    </row>
    <row r="60" spans="1:8" ht="45.75" thickBot="1">
      <c r="A60" s="12" t="s">
        <v>92</v>
      </c>
      <c r="B60" s="131" t="s">
        <v>516</v>
      </c>
      <c r="G60" s="12" t="s">
        <v>92</v>
      </c>
      <c r="H60" s="131"/>
    </row>
    <row r="61" spans="1:8" ht="15.75" thickBot="1">
      <c r="A61" s="15" t="s">
        <v>93</v>
      </c>
      <c r="B61" s="130" t="s">
        <v>457</v>
      </c>
      <c r="G61" s="15" t="s">
        <v>93</v>
      </c>
      <c r="H61" s="130"/>
    </row>
    <row r="62" spans="1:8" ht="15.75" thickBot="1">
      <c r="A62" s="12" t="s">
        <v>94</v>
      </c>
      <c r="B62" s="131" t="s">
        <v>459</v>
      </c>
      <c r="G62" s="12" t="s">
        <v>94</v>
      </c>
      <c r="H62" s="131"/>
    </row>
    <row r="63" spans="1:8" ht="30.75" thickBot="1">
      <c r="A63" s="12" t="s">
        <v>95</v>
      </c>
      <c r="B63" s="131" t="s">
        <v>460</v>
      </c>
      <c r="G63" s="12" t="s">
        <v>95</v>
      </c>
      <c r="H63" s="131"/>
    </row>
    <row r="64" spans="1:8" ht="30.75" thickBot="1">
      <c r="A64" s="12" t="s">
        <v>96</v>
      </c>
      <c r="B64" s="131" t="s">
        <v>460</v>
      </c>
      <c r="G64" s="12" t="s">
        <v>96</v>
      </c>
      <c r="H64" s="131"/>
    </row>
    <row r="65" spans="1:8" ht="30.75" thickBot="1">
      <c r="A65" s="12" t="s">
        <v>97</v>
      </c>
      <c r="B65" s="131"/>
      <c r="G65" s="12" t="s">
        <v>97</v>
      </c>
      <c r="H65" s="131"/>
    </row>
    <row r="66" spans="1:8" ht="15.75" thickBot="1">
      <c r="A66" s="8" t="s">
        <v>98</v>
      </c>
      <c r="B66" s="131" t="s">
        <v>479</v>
      </c>
      <c r="G66" s="8" t="s">
        <v>98</v>
      </c>
      <c r="H66" s="131"/>
    </row>
    <row r="67" spans="1:8" ht="45.75" thickBot="1">
      <c r="A67" s="12" t="s">
        <v>99</v>
      </c>
      <c r="B67" s="131" t="s">
        <v>517</v>
      </c>
      <c r="G67" s="12" t="s">
        <v>99</v>
      </c>
      <c r="H67" s="131"/>
    </row>
    <row r="68" spans="1:8" ht="30.75" thickBot="1">
      <c r="A68" s="12" t="s">
        <v>100</v>
      </c>
      <c r="B68" s="131"/>
      <c r="G68" s="12" t="s">
        <v>100</v>
      </c>
      <c r="H68" s="131"/>
    </row>
    <row r="69" spans="1:8" ht="15.75" customHeight="1" thickBot="1">
      <c r="A69" s="452" t="s">
        <v>522</v>
      </c>
      <c r="B69" s="453"/>
      <c r="G69" s="452" t="s">
        <v>536</v>
      </c>
      <c r="H69" s="453"/>
    </row>
    <row r="70" spans="1:8">
      <c r="A70" s="446" t="s">
        <v>535</v>
      </c>
      <c r="B70" s="447"/>
      <c r="G70" s="446" t="s">
        <v>465</v>
      </c>
      <c r="H70" s="447"/>
    </row>
    <row r="71" spans="1:8">
      <c r="A71" s="448"/>
      <c r="B71" s="449"/>
      <c r="G71" s="448"/>
      <c r="H71" s="449"/>
    </row>
    <row r="72" spans="1:8" ht="15.75" thickBot="1">
      <c r="A72" s="450"/>
      <c r="B72" s="451"/>
      <c r="G72" s="450"/>
      <c r="H72" s="451"/>
    </row>
    <row r="73" spans="1:8" ht="15.75" thickBot="1">
      <c r="A73" s="10" t="s">
        <v>82</v>
      </c>
      <c r="B73" s="129">
        <v>0.54</v>
      </c>
      <c r="G73" s="10" t="s">
        <v>82</v>
      </c>
      <c r="H73" s="131"/>
    </row>
    <row r="74" spans="1:8" ht="15.75" thickBot="1">
      <c r="A74" s="10" t="s">
        <v>83</v>
      </c>
      <c r="B74" s="11" t="s">
        <v>523</v>
      </c>
      <c r="G74" s="10" t="s">
        <v>83</v>
      </c>
      <c r="H74" s="131"/>
    </row>
    <row r="75" spans="1:8" ht="15.75" thickBot="1">
      <c r="A75" s="10" t="s">
        <v>84</v>
      </c>
      <c r="B75" s="128" t="s">
        <v>448</v>
      </c>
      <c r="G75" s="10" t="s">
        <v>84</v>
      </c>
      <c r="H75" s="130"/>
    </row>
    <row r="76" spans="1:8" ht="30.75" thickBot="1">
      <c r="A76" s="12" t="s">
        <v>85</v>
      </c>
      <c r="B76" s="131" t="s">
        <v>524</v>
      </c>
      <c r="G76" s="12" t="s">
        <v>85</v>
      </c>
      <c r="H76" s="133"/>
    </row>
    <row r="77" spans="1:8" ht="15.75" thickBot="1">
      <c r="A77" s="12" t="s">
        <v>86</v>
      </c>
      <c r="B77" s="130" t="s">
        <v>482</v>
      </c>
      <c r="G77" s="12" t="s">
        <v>86</v>
      </c>
      <c r="H77" s="131"/>
    </row>
    <row r="78" spans="1:8" ht="15.75" thickBot="1">
      <c r="A78" s="15" t="s">
        <v>87</v>
      </c>
      <c r="B78" s="131" t="s">
        <v>525</v>
      </c>
      <c r="G78" s="15" t="s">
        <v>87</v>
      </c>
      <c r="H78" s="131"/>
    </row>
    <row r="79" spans="1:8" ht="15.75" thickBot="1">
      <c r="A79" s="12" t="s">
        <v>88</v>
      </c>
      <c r="B79" s="131" t="s">
        <v>526</v>
      </c>
      <c r="G79" s="12" t="s">
        <v>88</v>
      </c>
      <c r="H79" s="130"/>
    </row>
    <row r="80" spans="1:8" ht="30.75" thickBot="1">
      <c r="A80" s="15" t="s">
        <v>89</v>
      </c>
      <c r="B80" s="130" t="s">
        <v>527</v>
      </c>
      <c r="G80" s="15" t="s">
        <v>89</v>
      </c>
      <c r="H80" s="131"/>
    </row>
    <row r="81" spans="1:8" ht="30.75" thickBot="1">
      <c r="A81" s="12" t="s">
        <v>90</v>
      </c>
      <c r="B81" s="133" t="s">
        <v>528</v>
      </c>
      <c r="G81" s="12" t="s">
        <v>90</v>
      </c>
      <c r="H81" s="131"/>
    </row>
    <row r="82" spans="1:8" ht="30.75" thickBot="1">
      <c r="A82" s="12" t="s">
        <v>91</v>
      </c>
      <c r="B82" s="131" t="s">
        <v>529</v>
      </c>
      <c r="G82" s="12" t="s">
        <v>91</v>
      </c>
      <c r="H82" s="131"/>
    </row>
    <row r="83" spans="1:8" ht="30.75" thickBot="1">
      <c r="A83" s="12" t="s">
        <v>92</v>
      </c>
      <c r="B83" s="131" t="s">
        <v>530</v>
      </c>
      <c r="G83" s="12" t="s">
        <v>92</v>
      </c>
      <c r="H83" s="131"/>
    </row>
    <row r="84" spans="1:8" ht="15.75" thickBot="1">
      <c r="A84" s="15" t="s">
        <v>93</v>
      </c>
      <c r="B84" s="130" t="s">
        <v>533</v>
      </c>
      <c r="G84" s="15" t="s">
        <v>93</v>
      </c>
      <c r="H84" s="131"/>
    </row>
    <row r="85" spans="1:8" ht="15.75" thickBot="1">
      <c r="A85" s="12" t="s">
        <v>94</v>
      </c>
      <c r="B85" s="131" t="s">
        <v>521</v>
      </c>
      <c r="G85" s="12" t="s">
        <v>94</v>
      </c>
      <c r="H85" s="131"/>
    </row>
    <row r="86" spans="1:8" ht="15.75" thickBot="1">
      <c r="A86" s="12" t="s">
        <v>95</v>
      </c>
      <c r="B86" s="131" t="s">
        <v>534</v>
      </c>
      <c r="G86" s="12" t="s">
        <v>95</v>
      </c>
      <c r="H86" s="131"/>
    </row>
    <row r="87" spans="1:8" ht="15.75" thickBot="1">
      <c r="A87" s="12" t="s">
        <v>96</v>
      </c>
      <c r="B87" s="131" t="s">
        <v>461</v>
      </c>
      <c r="G87" s="12" t="s">
        <v>96</v>
      </c>
      <c r="H87" s="131"/>
    </row>
    <row r="88" spans="1:8" ht="30.75" thickBot="1">
      <c r="A88" s="12" t="s">
        <v>97</v>
      </c>
      <c r="B88" s="131"/>
      <c r="G88" s="12" t="s">
        <v>97</v>
      </c>
      <c r="H88" s="131"/>
    </row>
    <row r="89" spans="1:8" ht="15.75" thickBot="1">
      <c r="A89" s="8" t="s">
        <v>98</v>
      </c>
      <c r="B89" s="131" t="s">
        <v>479</v>
      </c>
      <c r="G89" s="8" t="s">
        <v>98</v>
      </c>
      <c r="H89" s="130"/>
    </row>
    <row r="90" spans="1:8" ht="45.75" thickBot="1">
      <c r="A90" s="12" t="s">
        <v>99</v>
      </c>
      <c r="B90" s="131" t="s">
        <v>531</v>
      </c>
      <c r="G90" s="12" t="s">
        <v>99</v>
      </c>
      <c r="H90" s="133"/>
    </row>
    <row r="91" spans="1:8" ht="30.75" thickBot="1">
      <c r="A91" s="12" t="s">
        <v>100</v>
      </c>
      <c r="B91" s="131" t="s">
        <v>532</v>
      </c>
      <c r="G91" s="12" t="s">
        <v>100</v>
      </c>
      <c r="H91" s="131"/>
    </row>
    <row r="92" spans="1:8" ht="15.75" thickBot="1">
      <c r="A92" s="10"/>
      <c r="B92" s="134"/>
    </row>
    <row r="93" spans="1:8" ht="15.75" thickBot="1">
      <c r="A93" s="10"/>
      <c r="B93" s="128"/>
    </row>
    <row r="94" spans="1:8" ht="15.75" thickBot="1">
      <c r="A94" s="10"/>
      <c r="B94" s="128"/>
    </row>
    <row r="95" spans="1:8" ht="15.75" thickBot="1">
      <c r="A95" s="12"/>
      <c r="B95" s="131"/>
    </row>
  </sheetData>
  <mergeCells count="16">
    <mergeCell ref="A3:B3"/>
    <mergeCell ref="A2:B2"/>
    <mergeCell ref="G2:H2"/>
    <mergeCell ref="G3:H3"/>
    <mergeCell ref="A69:B69"/>
    <mergeCell ref="A70:B72"/>
    <mergeCell ref="G69:H69"/>
    <mergeCell ref="G70:H72"/>
    <mergeCell ref="G23:H23"/>
    <mergeCell ref="G24:H26"/>
    <mergeCell ref="A46:B46"/>
    <mergeCell ref="A47:B49"/>
    <mergeCell ref="G46:H46"/>
    <mergeCell ref="G47:H49"/>
    <mergeCell ref="A23:B23"/>
    <mergeCell ref="A24:B26"/>
  </mergeCells>
  <hyperlinks>
    <hyperlink ref="G20" location="_ftn1" display="_ftn1"/>
    <hyperlink ref="A20" location="_ftn1" display="_ftn1"/>
    <hyperlink ref="A43" location="_ftn1" display="_ftn1"/>
    <hyperlink ref="G43" location="_ftn1" display="_ftn1"/>
    <hyperlink ref="A66" location="_ftn1" display="_ftn1"/>
    <hyperlink ref="G66" location="_ftn1" display="_ftn1"/>
    <hyperlink ref="A89" location="_ftn1" display="_ftn1"/>
    <hyperlink ref="G89" location="_ftn1" display="_ftn1"/>
  </hyperlink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
  <sheetViews>
    <sheetView zoomScale="78" zoomScaleNormal="78" workbookViewId="0">
      <selection activeCell="F10" sqref="F10"/>
    </sheetView>
  </sheetViews>
  <sheetFormatPr baseColWidth="10" defaultColWidth="9.140625" defaultRowHeight="15"/>
  <cols>
    <col min="1" max="2" width="30.7109375" customWidth="1"/>
    <col min="3" max="8" width="15.7109375" customWidth="1"/>
    <col min="9" max="10" width="30.7109375" customWidth="1"/>
  </cols>
  <sheetData>
    <row r="2" spans="1:10" ht="21">
      <c r="A2" s="462" t="s">
        <v>101</v>
      </c>
      <c r="B2" s="462"/>
      <c r="C2" s="462"/>
      <c r="D2" s="462"/>
      <c r="E2" s="462"/>
      <c r="F2" s="462"/>
      <c r="G2" s="462"/>
      <c r="H2" s="462"/>
      <c r="I2" s="462"/>
      <c r="J2" s="462"/>
    </row>
    <row r="3" spans="1:10" ht="30" customHeight="1">
      <c r="A3" s="461" t="s">
        <v>102</v>
      </c>
      <c r="B3" s="461" t="s">
        <v>103</v>
      </c>
      <c r="C3" s="461" t="s">
        <v>104</v>
      </c>
      <c r="D3" s="461"/>
      <c r="E3" s="461" t="s">
        <v>105</v>
      </c>
      <c r="F3" s="461"/>
      <c r="G3" s="461"/>
      <c r="H3" s="461"/>
      <c r="I3" s="461" t="s">
        <v>106</v>
      </c>
      <c r="J3" s="461" t="s">
        <v>107</v>
      </c>
    </row>
    <row r="4" spans="1:10" ht="30" customHeight="1" thickBot="1">
      <c r="A4" s="461"/>
      <c r="B4" s="461"/>
      <c r="C4" s="23" t="s">
        <v>108</v>
      </c>
      <c r="D4" s="23" t="s">
        <v>109</v>
      </c>
      <c r="E4" s="23">
        <v>2025</v>
      </c>
      <c r="F4" s="23">
        <v>2026</v>
      </c>
      <c r="G4" s="23">
        <v>2027</v>
      </c>
      <c r="H4" s="23">
        <v>2028</v>
      </c>
      <c r="I4" s="461"/>
      <c r="J4" s="461"/>
    </row>
    <row r="5" spans="1:10" ht="30" customHeight="1">
      <c r="A5" s="149"/>
      <c r="B5" s="150" t="s">
        <v>259</v>
      </c>
      <c r="C5" s="211">
        <v>2024</v>
      </c>
      <c r="D5" s="211" t="s">
        <v>32</v>
      </c>
      <c r="E5" s="211" t="s">
        <v>32</v>
      </c>
      <c r="F5" s="211" t="s">
        <v>32</v>
      </c>
      <c r="G5" s="211" t="s">
        <v>32</v>
      </c>
      <c r="H5" s="211" t="s">
        <v>32</v>
      </c>
      <c r="I5" s="226" t="s">
        <v>657</v>
      </c>
      <c r="J5" s="230" t="s">
        <v>467</v>
      </c>
    </row>
    <row r="6" spans="1:10" ht="44.25" customHeight="1" thickBot="1">
      <c r="A6" s="20"/>
      <c r="B6" s="78" t="s">
        <v>260</v>
      </c>
      <c r="C6" s="22">
        <v>2024</v>
      </c>
      <c r="D6" s="234">
        <v>402.92948795083311</v>
      </c>
      <c r="E6" s="234">
        <v>708.01878090165758</v>
      </c>
      <c r="F6" s="234">
        <v>322.34359036066644</v>
      </c>
      <c r="G6" s="234">
        <v>386.81230843279974</v>
      </c>
      <c r="H6" s="234">
        <v>443.22243674591647</v>
      </c>
      <c r="I6" s="59" t="s">
        <v>548</v>
      </c>
      <c r="J6" s="127" t="s">
        <v>446</v>
      </c>
    </row>
    <row r="7" spans="1:10" ht="42.75" customHeight="1" thickBot="1">
      <c r="A7" s="20"/>
      <c r="B7" s="78" t="s">
        <v>261</v>
      </c>
      <c r="C7" s="22">
        <v>2024</v>
      </c>
      <c r="D7" s="234">
        <v>0.40292948795083311</v>
      </c>
      <c r="E7" s="235">
        <v>0.7080187809016576</v>
      </c>
      <c r="F7" s="235">
        <v>0.32234359036066645</v>
      </c>
      <c r="G7" s="235">
        <v>0.38681230843279973</v>
      </c>
      <c r="H7" s="233">
        <v>0.44322243674591649</v>
      </c>
      <c r="I7" s="59" t="s">
        <v>548</v>
      </c>
      <c r="J7" s="127" t="s">
        <v>446</v>
      </c>
    </row>
    <row r="8" spans="1:10" ht="45.75" customHeight="1">
      <c r="A8" s="20"/>
      <c r="B8" s="78" t="s">
        <v>262</v>
      </c>
      <c r="C8" s="22">
        <v>2024</v>
      </c>
      <c r="D8" s="236">
        <v>9.35E-2</v>
      </c>
      <c r="E8" s="236">
        <v>0.31177519762629097</v>
      </c>
      <c r="F8" s="236">
        <v>9.35E-2</v>
      </c>
      <c r="G8" s="236">
        <v>9.35E-2</v>
      </c>
      <c r="H8" s="236">
        <v>9.35E-2</v>
      </c>
      <c r="I8" s="59" t="s">
        <v>549</v>
      </c>
      <c r="J8" s="59" t="s">
        <v>550</v>
      </c>
    </row>
    <row r="9" spans="1:10" ht="50.25" customHeight="1">
      <c r="A9" s="20"/>
      <c r="B9" s="78" t="s">
        <v>263</v>
      </c>
      <c r="C9" s="22">
        <v>2024</v>
      </c>
      <c r="D9" s="236">
        <v>1</v>
      </c>
      <c r="E9" s="236">
        <v>1</v>
      </c>
      <c r="F9" s="236">
        <v>1</v>
      </c>
      <c r="G9" s="236">
        <v>1</v>
      </c>
      <c r="H9" s="236">
        <v>1</v>
      </c>
      <c r="I9" s="59" t="s">
        <v>549</v>
      </c>
      <c r="J9" s="59" t="s">
        <v>551</v>
      </c>
    </row>
    <row r="10" spans="1:10" ht="43.5" customHeight="1" thickBot="1">
      <c r="A10" s="20"/>
      <c r="B10" s="78" t="s">
        <v>264</v>
      </c>
      <c r="C10" s="22">
        <v>2024</v>
      </c>
      <c r="D10" s="236">
        <v>0.11</v>
      </c>
      <c r="E10" s="236">
        <v>0.20173689258171773</v>
      </c>
      <c r="F10" s="236">
        <v>0.11</v>
      </c>
      <c r="G10" s="236">
        <v>0.11</v>
      </c>
      <c r="H10" s="236">
        <v>0.11</v>
      </c>
      <c r="I10" s="59" t="s">
        <v>549</v>
      </c>
      <c r="J10" s="59" t="s">
        <v>552</v>
      </c>
    </row>
    <row r="11" spans="1:10" ht="69.75" customHeight="1">
      <c r="A11" s="20"/>
      <c r="B11" s="78" t="s">
        <v>266</v>
      </c>
      <c r="C11" s="22">
        <v>2024</v>
      </c>
      <c r="D11" s="237">
        <v>0.51921787936656583</v>
      </c>
      <c r="E11" s="237">
        <v>0.52613097861025659</v>
      </c>
      <c r="F11" s="237">
        <v>0.5362562786102566</v>
      </c>
      <c r="G11" s="237">
        <v>0.55138157861025661</v>
      </c>
      <c r="H11" s="237">
        <v>0.5656068786102566</v>
      </c>
      <c r="I11" s="196" t="s">
        <v>549</v>
      </c>
      <c r="J11" s="231" t="s">
        <v>655</v>
      </c>
    </row>
    <row r="12" spans="1:10" ht="45" customHeight="1">
      <c r="A12" s="20"/>
      <c r="B12" s="151" t="s">
        <v>267</v>
      </c>
      <c r="C12" s="22">
        <v>2024</v>
      </c>
      <c r="D12" s="22" t="s">
        <v>32</v>
      </c>
      <c r="E12" s="22" t="s">
        <v>32</v>
      </c>
      <c r="F12" s="22" t="s">
        <v>32</v>
      </c>
      <c r="G12" s="22" t="s">
        <v>32</v>
      </c>
      <c r="H12" s="22" t="s">
        <v>32</v>
      </c>
      <c r="I12" s="28" t="s">
        <v>656</v>
      </c>
      <c r="J12" s="232" t="s">
        <v>32</v>
      </c>
    </row>
  </sheetData>
  <mergeCells count="7">
    <mergeCell ref="J3:J4"/>
    <mergeCell ref="A2:J2"/>
    <mergeCell ref="A3:A4"/>
    <mergeCell ref="B3:B4"/>
    <mergeCell ref="C3:D3"/>
    <mergeCell ref="E3:H3"/>
    <mergeCell ref="I3:I4"/>
  </mergeCells>
  <pageMargins left="0.7" right="0.7" top="0.75" bottom="0.75" header="0.3" footer="0.3"/>
  <pageSetup paperSize="9" scale="99" orientation="landscape" horizontalDpi="360" verticalDpi="36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workbookViewId="0">
      <selection activeCell="J3" sqref="J3"/>
    </sheetView>
  </sheetViews>
  <sheetFormatPr baseColWidth="10" defaultColWidth="9.140625" defaultRowHeight="15"/>
  <cols>
    <col min="1" max="1" width="6.85546875" customWidth="1"/>
    <col min="2" max="2" width="7.5703125" customWidth="1"/>
    <col min="3" max="4" width="30.7109375" customWidth="1"/>
    <col min="5" max="5" width="20.42578125" customWidth="1"/>
    <col min="6" max="6" width="18.7109375" customWidth="1"/>
    <col min="7" max="7" width="18.85546875" customWidth="1"/>
  </cols>
  <sheetData>
    <row r="1" spans="1:7">
      <c r="F1" s="136"/>
      <c r="G1" s="136"/>
    </row>
    <row r="2" spans="1:7" ht="18.75">
      <c r="A2" s="468" t="s">
        <v>110</v>
      </c>
      <c r="B2" s="469"/>
      <c r="C2" s="469"/>
      <c r="D2" s="469"/>
      <c r="E2" s="469"/>
      <c r="F2" s="469"/>
      <c r="G2" s="470"/>
    </row>
    <row r="3" spans="1:7" ht="95.25" customHeight="1">
      <c r="A3" s="137" t="s">
        <v>547</v>
      </c>
      <c r="B3" s="471" t="s">
        <v>111</v>
      </c>
      <c r="C3" s="472"/>
      <c r="D3" s="271" t="s">
        <v>624</v>
      </c>
      <c r="E3" s="271" t="s">
        <v>232</v>
      </c>
      <c r="F3" s="271" t="s">
        <v>554</v>
      </c>
      <c r="G3" s="23" t="s">
        <v>112</v>
      </c>
    </row>
    <row r="4" spans="1:7" ht="38.25">
      <c r="A4" s="154"/>
      <c r="B4" s="22" t="s">
        <v>70</v>
      </c>
      <c r="C4" s="151" t="s">
        <v>398</v>
      </c>
      <c r="D4" s="154">
        <v>3</v>
      </c>
      <c r="E4" s="154">
        <v>3</v>
      </c>
      <c r="F4" s="154">
        <v>3</v>
      </c>
      <c r="G4" s="154">
        <f t="shared" ref="G4:G11" si="0">+D4+E4+F4</f>
        <v>9</v>
      </c>
    </row>
    <row r="5" spans="1:7" ht="38.25">
      <c r="A5" s="154"/>
      <c r="B5" s="22" t="s">
        <v>400</v>
      </c>
      <c r="C5" s="151" t="s">
        <v>399</v>
      </c>
      <c r="D5" s="154">
        <v>3</v>
      </c>
      <c r="E5" s="154">
        <v>1</v>
      </c>
      <c r="F5" s="154">
        <v>3</v>
      </c>
      <c r="G5" s="154">
        <f t="shared" si="0"/>
        <v>7</v>
      </c>
    </row>
    <row r="6" spans="1:7" ht="38.25">
      <c r="A6" s="154"/>
      <c r="B6" s="22" t="s">
        <v>401</v>
      </c>
      <c r="C6" s="80" t="s">
        <v>432</v>
      </c>
      <c r="D6" s="154">
        <v>1</v>
      </c>
      <c r="E6" s="154">
        <v>0</v>
      </c>
      <c r="F6" s="154">
        <v>2</v>
      </c>
      <c r="G6" s="154">
        <f t="shared" si="0"/>
        <v>3</v>
      </c>
    </row>
    <row r="7" spans="1:7" ht="38.25">
      <c r="A7" s="154"/>
      <c r="B7" s="22" t="s">
        <v>403</v>
      </c>
      <c r="C7" s="151" t="s">
        <v>405</v>
      </c>
      <c r="D7" s="154">
        <v>0</v>
      </c>
      <c r="E7" s="154">
        <v>1</v>
      </c>
      <c r="F7" s="154">
        <v>1</v>
      </c>
      <c r="G7" s="154">
        <f t="shared" si="0"/>
        <v>2</v>
      </c>
    </row>
    <row r="8" spans="1:7" ht="40.5" customHeight="1">
      <c r="A8" s="154"/>
      <c r="B8" s="22" t="s">
        <v>71</v>
      </c>
      <c r="C8" s="80" t="s">
        <v>406</v>
      </c>
      <c r="D8" s="152">
        <v>0</v>
      </c>
      <c r="E8" s="152">
        <v>3</v>
      </c>
      <c r="F8" s="152">
        <v>3</v>
      </c>
      <c r="G8" s="154">
        <f t="shared" si="0"/>
        <v>6</v>
      </c>
    </row>
    <row r="9" spans="1:7" ht="47.25" customHeight="1">
      <c r="A9" s="154"/>
      <c r="B9" s="93" t="s">
        <v>407</v>
      </c>
      <c r="C9" s="79" t="s">
        <v>409</v>
      </c>
      <c r="D9" s="154">
        <v>0</v>
      </c>
      <c r="E9" s="154">
        <v>2</v>
      </c>
      <c r="F9" s="154">
        <v>3</v>
      </c>
      <c r="G9" s="154">
        <f t="shared" si="0"/>
        <v>5</v>
      </c>
    </row>
    <row r="10" spans="1:7" ht="41.25" customHeight="1">
      <c r="A10" s="154"/>
      <c r="B10" s="94" t="s">
        <v>408</v>
      </c>
      <c r="C10" s="79" t="s">
        <v>410</v>
      </c>
      <c r="D10" s="154">
        <v>3</v>
      </c>
      <c r="E10" s="154">
        <v>2</v>
      </c>
      <c r="F10" s="154">
        <v>2</v>
      </c>
      <c r="G10" s="154">
        <f t="shared" si="0"/>
        <v>7</v>
      </c>
    </row>
    <row r="11" spans="1:7" ht="48.75" customHeight="1">
      <c r="A11" s="154"/>
      <c r="B11" s="61" t="s">
        <v>411</v>
      </c>
      <c r="C11" s="79" t="s">
        <v>412</v>
      </c>
      <c r="D11" s="154">
        <v>1</v>
      </c>
      <c r="E11" s="154">
        <v>1</v>
      </c>
      <c r="F11" s="154">
        <v>3</v>
      </c>
      <c r="G11" s="154">
        <f t="shared" si="0"/>
        <v>5</v>
      </c>
    </row>
    <row r="12" spans="1:7" ht="30" customHeight="1">
      <c r="A12" s="154"/>
      <c r="B12" s="22" t="s">
        <v>429</v>
      </c>
      <c r="C12" s="79" t="s">
        <v>430</v>
      </c>
      <c r="D12" s="152">
        <v>0</v>
      </c>
      <c r="E12" s="154">
        <v>0</v>
      </c>
      <c r="F12" s="154">
        <v>0</v>
      </c>
      <c r="G12" s="154"/>
    </row>
    <row r="13" spans="1:7" ht="51.75" customHeight="1">
      <c r="A13" s="154"/>
      <c r="B13" s="22" t="s">
        <v>77</v>
      </c>
      <c r="C13" s="58" t="s">
        <v>537</v>
      </c>
      <c r="D13" s="154">
        <v>1</v>
      </c>
      <c r="E13" s="154">
        <v>1</v>
      </c>
      <c r="F13" s="154">
        <v>2</v>
      </c>
      <c r="G13" s="154">
        <f>+D13+E13+F13</f>
        <v>4</v>
      </c>
    </row>
    <row r="14" spans="1:7" ht="76.5" customHeight="1">
      <c r="A14" s="154"/>
      <c r="B14" s="22" t="s">
        <v>80</v>
      </c>
      <c r="C14" s="54" t="s">
        <v>538</v>
      </c>
      <c r="D14" s="154">
        <v>3</v>
      </c>
      <c r="E14" s="154">
        <v>2</v>
      </c>
      <c r="F14" s="154">
        <v>2</v>
      </c>
      <c r="G14" s="154">
        <f>+D14+E14+F14</f>
        <v>7</v>
      </c>
    </row>
    <row r="15" spans="1:7" ht="45" customHeight="1">
      <c r="A15" s="154"/>
      <c r="B15" s="22" t="s">
        <v>434</v>
      </c>
      <c r="C15" s="54" t="s">
        <v>540</v>
      </c>
      <c r="D15" s="154">
        <v>1</v>
      </c>
      <c r="E15" s="154">
        <v>1</v>
      </c>
      <c r="F15" s="154">
        <v>3</v>
      </c>
      <c r="G15" s="154">
        <f>+D15+E15+F15</f>
        <v>5</v>
      </c>
    </row>
    <row r="16" spans="1:7" ht="75">
      <c r="A16" s="154"/>
      <c r="B16" s="22" t="s">
        <v>539</v>
      </c>
      <c r="C16" s="153" t="s">
        <v>553</v>
      </c>
      <c r="D16" s="154">
        <v>3</v>
      </c>
      <c r="E16" s="154">
        <v>3</v>
      </c>
      <c r="F16" s="154">
        <v>3</v>
      </c>
      <c r="G16" s="154">
        <f>+D16+E16+F16</f>
        <v>9</v>
      </c>
    </row>
    <row r="17" spans="1:7" ht="15" customHeight="1">
      <c r="A17" s="463"/>
      <c r="B17" s="22" t="s">
        <v>78</v>
      </c>
      <c r="C17" s="474" t="s">
        <v>543</v>
      </c>
      <c r="D17" s="463">
        <v>1</v>
      </c>
      <c r="E17" s="463">
        <v>2</v>
      </c>
      <c r="F17" s="463">
        <v>3</v>
      </c>
      <c r="G17" s="463">
        <f>+D17+E17+F17</f>
        <v>6</v>
      </c>
    </row>
    <row r="18" spans="1:7" ht="15" customHeight="1">
      <c r="A18" s="389"/>
      <c r="C18" s="475"/>
      <c r="D18" s="389"/>
      <c r="E18" s="389"/>
      <c r="F18" s="389"/>
      <c r="G18" s="389"/>
    </row>
    <row r="19" spans="1:7" ht="15" customHeight="1">
      <c r="A19" s="389"/>
      <c r="C19" s="475"/>
      <c r="D19" s="389"/>
      <c r="E19" s="389"/>
      <c r="F19" s="389"/>
      <c r="G19" s="389"/>
    </row>
    <row r="20" spans="1:7" ht="15" customHeight="1">
      <c r="A20" s="464"/>
      <c r="C20" s="475"/>
      <c r="D20" s="464"/>
      <c r="E20" s="464"/>
      <c r="F20" s="464"/>
      <c r="G20" s="464"/>
    </row>
    <row r="21" spans="1:7" ht="1.5" customHeight="1">
      <c r="A21" s="20"/>
      <c r="C21" s="475"/>
      <c r="D21" s="154"/>
      <c r="E21" s="154"/>
      <c r="F21" s="20"/>
      <c r="G21" s="20"/>
    </row>
    <row r="22" spans="1:7" hidden="1">
      <c r="A22" s="20"/>
      <c r="C22" s="476"/>
      <c r="D22" s="154"/>
      <c r="E22" s="154"/>
      <c r="F22" s="20"/>
      <c r="G22" s="20"/>
    </row>
    <row r="23" spans="1:7" ht="15" customHeight="1">
      <c r="A23" s="463"/>
      <c r="B23" s="156" t="s">
        <v>81</v>
      </c>
      <c r="C23" s="477" t="s">
        <v>544</v>
      </c>
      <c r="D23" s="463">
        <v>1</v>
      </c>
      <c r="E23" s="463">
        <v>2</v>
      </c>
      <c r="F23" s="463">
        <v>2</v>
      </c>
      <c r="G23" s="463">
        <f>+D23+E23+F23</f>
        <v>5</v>
      </c>
    </row>
    <row r="24" spans="1:7">
      <c r="A24" s="389"/>
      <c r="B24" s="157"/>
      <c r="C24" s="477"/>
      <c r="D24" s="389"/>
      <c r="E24" s="389"/>
      <c r="F24" s="389"/>
      <c r="G24" s="389"/>
    </row>
    <row r="25" spans="1:7">
      <c r="A25" s="389"/>
      <c r="B25" s="157"/>
      <c r="C25" s="477"/>
      <c r="D25" s="389"/>
      <c r="E25" s="389"/>
      <c r="F25" s="389"/>
      <c r="G25" s="389"/>
    </row>
    <row r="26" spans="1:7">
      <c r="A26" s="389"/>
      <c r="B26" s="155"/>
      <c r="C26" s="477"/>
      <c r="D26" s="389"/>
      <c r="E26" s="389"/>
      <c r="F26" s="389"/>
      <c r="G26" s="389"/>
    </row>
    <row r="27" spans="1:7">
      <c r="A27" s="464"/>
      <c r="B27" s="155"/>
      <c r="C27" s="477"/>
      <c r="D27" s="389"/>
      <c r="E27" s="389"/>
      <c r="F27" s="389"/>
      <c r="G27" s="389"/>
    </row>
    <row r="28" spans="1:7" ht="0.75" customHeight="1">
      <c r="A28" s="473"/>
      <c r="B28" s="89"/>
      <c r="C28" s="477"/>
      <c r="D28" s="464"/>
      <c r="E28" s="464"/>
      <c r="F28" s="464"/>
      <c r="G28" s="464"/>
    </row>
    <row r="29" spans="1:7" ht="15" customHeight="1">
      <c r="A29" s="473"/>
      <c r="B29" s="465" t="s">
        <v>435</v>
      </c>
      <c r="C29" s="303" t="s">
        <v>545</v>
      </c>
      <c r="D29" s="463">
        <v>3</v>
      </c>
      <c r="E29" s="463">
        <v>2</v>
      </c>
      <c r="F29" s="463">
        <v>2</v>
      </c>
      <c r="G29" s="463">
        <f>+D29+E29+F29</f>
        <v>7</v>
      </c>
    </row>
    <row r="30" spans="1:7">
      <c r="A30" s="473"/>
      <c r="B30" s="466"/>
      <c r="C30" s="303"/>
      <c r="D30" s="389"/>
      <c r="E30" s="389"/>
      <c r="F30" s="389"/>
      <c r="G30" s="389"/>
    </row>
    <row r="31" spans="1:7">
      <c r="A31" s="473"/>
      <c r="B31" s="466"/>
      <c r="C31" s="303"/>
      <c r="D31" s="389"/>
      <c r="E31" s="389"/>
      <c r="F31" s="389"/>
      <c r="G31" s="389"/>
    </row>
    <row r="32" spans="1:7">
      <c r="A32" s="473"/>
      <c r="B32" s="467"/>
      <c r="C32" s="303"/>
      <c r="D32" s="464"/>
      <c r="E32" s="464"/>
      <c r="F32" s="464"/>
      <c r="G32" s="464"/>
    </row>
    <row r="33" spans="1:7" ht="3" customHeight="1">
      <c r="A33" s="20"/>
      <c r="B33" s="20"/>
      <c r="C33" s="303"/>
      <c r="D33" s="154"/>
      <c r="E33" s="154"/>
      <c r="F33" s="20"/>
      <c r="G33" s="20"/>
    </row>
    <row r="34" spans="1:7" ht="15" customHeight="1">
      <c r="A34" s="463"/>
      <c r="B34" s="465" t="s">
        <v>542</v>
      </c>
      <c r="C34" s="477" t="s">
        <v>546</v>
      </c>
      <c r="D34" s="463">
        <v>3</v>
      </c>
      <c r="E34" s="463">
        <v>2</v>
      </c>
      <c r="F34" s="463">
        <v>2</v>
      </c>
      <c r="G34" s="463">
        <f>+D34+E34+F34</f>
        <v>7</v>
      </c>
    </row>
    <row r="35" spans="1:7">
      <c r="A35" s="389"/>
      <c r="B35" s="466"/>
      <c r="C35" s="477"/>
      <c r="D35" s="389"/>
      <c r="E35" s="389"/>
      <c r="F35" s="389"/>
      <c r="G35" s="389"/>
    </row>
    <row r="36" spans="1:7">
      <c r="A36" s="389"/>
      <c r="B36" s="466"/>
      <c r="C36" s="477"/>
      <c r="D36" s="389"/>
      <c r="E36" s="389"/>
      <c r="F36" s="389"/>
      <c r="G36" s="389"/>
    </row>
    <row r="37" spans="1:7">
      <c r="A37" s="389"/>
      <c r="B37" s="466"/>
      <c r="C37" s="477"/>
      <c r="D37" s="389"/>
      <c r="E37" s="389"/>
      <c r="F37" s="389"/>
      <c r="G37" s="389"/>
    </row>
    <row r="38" spans="1:7">
      <c r="A38" s="464"/>
      <c r="B38" s="467"/>
      <c r="C38" s="477"/>
      <c r="D38" s="464"/>
      <c r="E38" s="464"/>
      <c r="F38" s="464"/>
      <c r="G38" s="464"/>
    </row>
  </sheetData>
  <mergeCells count="28">
    <mergeCell ref="G34:G38"/>
    <mergeCell ref="C23:C28"/>
    <mergeCell ref="C29:C33"/>
    <mergeCell ref="C34:C38"/>
    <mergeCell ref="D23:D28"/>
    <mergeCell ref="E23:E28"/>
    <mergeCell ref="F23:F28"/>
    <mergeCell ref="G23:G28"/>
    <mergeCell ref="D29:D32"/>
    <mergeCell ref="E29:E32"/>
    <mergeCell ref="F29:F32"/>
    <mergeCell ref="G29:G32"/>
    <mergeCell ref="A34:A38"/>
    <mergeCell ref="B34:B38"/>
    <mergeCell ref="A2:G2"/>
    <mergeCell ref="B3:C3"/>
    <mergeCell ref="A17:A20"/>
    <mergeCell ref="A23:A27"/>
    <mergeCell ref="A28:A32"/>
    <mergeCell ref="B29:B32"/>
    <mergeCell ref="C17:C22"/>
    <mergeCell ref="D17:D20"/>
    <mergeCell ref="E17:E20"/>
    <mergeCell ref="F17:F20"/>
    <mergeCell ref="G17:G20"/>
    <mergeCell ref="D34:D38"/>
    <mergeCell ref="E34:E38"/>
    <mergeCell ref="F34:F38"/>
  </mergeCells>
  <pageMargins left="0.7" right="0.7" top="0.75" bottom="0.75" header="0.3" footer="0.3"/>
  <pageSetup paperSize="9" orientation="portrait" horizontalDpi="360" verticalDpi="36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5" zoomScaleNormal="85" workbookViewId="0">
      <selection activeCell="D6" sqref="D6:D7"/>
    </sheetView>
  </sheetViews>
  <sheetFormatPr baseColWidth="10" defaultColWidth="9.140625" defaultRowHeight="15"/>
  <cols>
    <col min="1" max="7" width="30.7109375" customWidth="1"/>
    <col min="8" max="8" width="18.28515625" customWidth="1"/>
  </cols>
  <sheetData>
    <row r="1" spans="1:8" s="214" customFormat="1" ht="18.75">
      <c r="A1" s="485" t="s">
        <v>113</v>
      </c>
      <c r="B1" s="485"/>
      <c r="C1" s="485"/>
      <c r="D1" s="485"/>
      <c r="E1" s="485"/>
      <c r="F1" s="485"/>
      <c r="G1" s="485"/>
    </row>
    <row r="2" spans="1:8" ht="74.25" customHeight="1">
      <c r="A2" s="486" t="s">
        <v>114</v>
      </c>
      <c r="B2" s="486"/>
      <c r="C2" s="486" t="s">
        <v>115</v>
      </c>
      <c r="D2" s="486" t="s">
        <v>116</v>
      </c>
      <c r="E2" s="213" t="s">
        <v>117</v>
      </c>
      <c r="F2" s="490" t="s">
        <v>625</v>
      </c>
      <c r="G2" s="486" t="s">
        <v>626</v>
      </c>
      <c r="H2" s="486" t="s">
        <v>627</v>
      </c>
    </row>
    <row r="3" spans="1:8" ht="50.1" customHeight="1">
      <c r="A3" s="213" t="s">
        <v>118</v>
      </c>
      <c r="B3" s="213" t="s">
        <v>119</v>
      </c>
      <c r="C3" s="486"/>
      <c r="D3" s="486"/>
      <c r="E3" s="213" t="s">
        <v>120</v>
      </c>
      <c r="F3" s="491"/>
      <c r="G3" s="486"/>
      <c r="H3" s="486"/>
    </row>
    <row r="4" spans="1:8" ht="15" customHeight="1">
      <c r="A4" s="487" t="s">
        <v>121</v>
      </c>
      <c r="B4" s="487" t="s">
        <v>122</v>
      </c>
      <c r="C4" s="487" t="s">
        <v>123</v>
      </c>
      <c r="D4" s="212" t="s">
        <v>124</v>
      </c>
      <c r="E4" s="487" t="s">
        <v>125</v>
      </c>
      <c r="F4" s="488" t="s">
        <v>628</v>
      </c>
      <c r="G4" s="488" t="s">
        <v>629</v>
      </c>
      <c r="H4" s="487" t="s">
        <v>126</v>
      </c>
    </row>
    <row r="5" spans="1:8">
      <c r="A5" s="487"/>
      <c r="B5" s="487"/>
      <c r="C5" s="487"/>
      <c r="D5" s="212" t="s">
        <v>127</v>
      </c>
      <c r="E5" s="487"/>
      <c r="F5" s="489"/>
      <c r="G5" s="489"/>
      <c r="H5" s="487"/>
    </row>
    <row r="6" spans="1:8" ht="47.25" customHeight="1">
      <c r="A6" s="478" t="s">
        <v>630</v>
      </c>
      <c r="B6" s="218" t="s">
        <v>631</v>
      </c>
      <c r="C6" s="484" t="s">
        <v>632</v>
      </c>
      <c r="D6" s="275" t="s">
        <v>633</v>
      </c>
      <c r="E6" s="275" t="s">
        <v>634</v>
      </c>
      <c r="F6" s="482" t="s">
        <v>635</v>
      </c>
      <c r="G6" s="483">
        <v>7665</v>
      </c>
      <c r="H6" s="275" t="s">
        <v>560</v>
      </c>
    </row>
    <row r="7" spans="1:8" ht="63">
      <c r="A7" s="479"/>
      <c r="B7" s="219" t="s">
        <v>636</v>
      </c>
      <c r="C7" s="484"/>
      <c r="D7" s="276"/>
      <c r="E7" s="276"/>
      <c r="F7" s="276"/>
      <c r="G7" s="467"/>
      <c r="H7" s="276"/>
    </row>
    <row r="8" spans="1:8" ht="31.5" customHeight="1">
      <c r="A8" s="478" t="s">
        <v>637</v>
      </c>
      <c r="B8" s="218" t="s">
        <v>638</v>
      </c>
      <c r="C8" s="275" t="s">
        <v>639</v>
      </c>
      <c r="D8" s="275" t="s">
        <v>633</v>
      </c>
      <c r="E8" s="275" t="s">
        <v>640</v>
      </c>
      <c r="F8" s="482" t="s">
        <v>641</v>
      </c>
      <c r="G8" s="465">
        <v>7661</v>
      </c>
      <c r="H8" s="275" t="s">
        <v>560</v>
      </c>
    </row>
    <row r="9" spans="1:8" ht="31.5">
      <c r="A9" s="479"/>
      <c r="B9" s="219" t="s">
        <v>642</v>
      </c>
      <c r="C9" s="276"/>
      <c r="D9" s="276"/>
      <c r="E9" s="276"/>
      <c r="F9" s="276"/>
      <c r="G9" s="467"/>
      <c r="H9" s="276"/>
    </row>
    <row r="10" spans="1:8" ht="47.25" customHeight="1">
      <c r="A10" s="478" t="s">
        <v>643</v>
      </c>
      <c r="B10" s="220" t="s">
        <v>644</v>
      </c>
      <c r="C10" s="480" t="s">
        <v>645</v>
      </c>
      <c r="D10" s="275" t="s">
        <v>646</v>
      </c>
      <c r="E10" s="275" t="s">
        <v>647</v>
      </c>
      <c r="F10" s="482" t="s">
        <v>562</v>
      </c>
      <c r="G10" s="465">
        <v>7666</v>
      </c>
      <c r="H10" s="275" t="s">
        <v>648</v>
      </c>
    </row>
    <row r="11" spans="1:8" ht="47.25">
      <c r="A11" s="479"/>
      <c r="B11" s="220" t="s">
        <v>649</v>
      </c>
      <c r="C11" s="481"/>
      <c r="D11" s="276"/>
      <c r="E11" s="276"/>
      <c r="F11" s="276"/>
      <c r="G11" s="467"/>
      <c r="H11" s="276"/>
    </row>
  </sheetData>
  <mergeCells count="35">
    <mergeCell ref="A1:G1"/>
    <mergeCell ref="H2:H3"/>
    <mergeCell ref="A4:A5"/>
    <mergeCell ref="B4:B5"/>
    <mergeCell ref="C4:C5"/>
    <mergeCell ref="E4:E5"/>
    <mergeCell ref="F4:F5"/>
    <mergeCell ref="G4:G5"/>
    <mergeCell ref="H4:H5"/>
    <mergeCell ref="F2:F3"/>
    <mergeCell ref="G2:G3"/>
    <mergeCell ref="C2:C3"/>
    <mergeCell ref="A2:B2"/>
    <mergeCell ref="D2:D3"/>
    <mergeCell ref="G6:G7"/>
    <mergeCell ref="H6:H7"/>
    <mergeCell ref="A8:A9"/>
    <mergeCell ref="C8:C9"/>
    <mergeCell ref="D8:D9"/>
    <mergeCell ref="E8:E9"/>
    <mergeCell ref="F8:F9"/>
    <mergeCell ref="G8:G9"/>
    <mergeCell ref="H8:H9"/>
    <mergeCell ref="A6:A7"/>
    <mergeCell ref="C6:C7"/>
    <mergeCell ref="D6:D7"/>
    <mergeCell ref="E6:E7"/>
    <mergeCell ref="F6:F7"/>
    <mergeCell ref="G10:G11"/>
    <mergeCell ref="H10:H11"/>
    <mergeCell ref="A10:A11"/>
    <mergeCell ref="C10:C11"/>
    <mergeCell ref="D10:D11"/>
    <mergeCell ref="E10:E11"/>
    <mergeCell ref="F10:F11"/>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
  <sheetViews>
    <sheetView zoomScaleNormal="100" workbookViewId="0">
      <selection activeCell="D9" sqref="D9"/>
    </sheetView>
  </sheetViews>
  <sheetFormatPr baseColWidth="10" defaultColWidth="9.140625" defaultRowHeight="15"/>
  <cols>
    <col min="1" max="2" width="30.7109375" customWidth="1"/>
    <col min="3" max="3" width="18.28515625" customWidth="1"/>
    <col min="4" max="4" width="26.85546875" customWidth="1"/>
    <col min="5" max="8" width="15.7109375" customWidth="1"/>
  </cols>
  <sheetData>
    <row r="1" spans="1:8" ht="15.75" thickBot="1"/>
    <row r="2" spans="1:8" ht="18.75">
      <c r="A2" s="494" t="s">
        <v>128</v>
      </c>
      <c r="B2" s="495"/>
      <c r="C2" s="495"/>
      <c r="D2" s="495"/>
      <c r="E2" s="495"/>
      <c r="F2" s="495"/>
      <c r="G2" s="495"/>
      <c r="H2" s="496"/>
    </row>
    <row r="3" spans="1:8">
      <c r="A3" s="492" t="s">
        <v>586</v>
      </c>
      <c r="B3" s="492" t="s">
        <v>556</v>
      </c>
      <c r="C3" s="497" t="s">
        <v>129</v>
      </c>
      <c r="D3" s="492" t="s">
        <v>557</v>
      </c>
      <c r="E3" s="497" t="s">
        <v>130</v>
      </c>
      <c r="F3" s="497"/>
      <c r="G3" s="497"/>
      <c r="H3" s="499"/>
    </row>
    <row r="4" spans="1:8" ht="15.75" thickBot="1">
      <c r="A4" s="493"/>
      <c r="B4" s="493"/>
      <c r="C4" s="498"/>
      <c r="D4" s="493"/>
      <c r="E4" s="158">
        <v>2025</v>
      </c>
      <c r="F4" s="158">
        <v>2026</v>
      </c>
      <c r="G4" s="158">
        <v>2027</v>
      </c>
      <c r="H4" s="159">
        <v>2028</v>
      </c>
    </row>
    <row r="5" spans="1:8" ht="60.75" thickBot="1">
      <c r="A5" s="160" t="s">
        <v>558</v>
      </c>
      <c r="B5" s="161">
        <v>7661</v>
      </c>
      <c r="C5" s="162" t="s">
        <v>559</v>
      </c>
      <c r="D5" s="162" t="s">
        <v>560</v>
      </c>
      <c r="E5" s="163">
        <v>54073752</v>
      </c>
      <c r="F5" s="163">
        <v>54073752</v>
      </c>
      <c r="G5" s="163">
        <v>34607475</v>
      </c>
      <c r="H5" s="164">
        <v>39615275</v>
      </c>
    </row>
    <row r="6" spans="1:8" ht="60.75" thickBot="1">
      <c r="A6" s="160" t="s">
        <v>561</v>
      </c>
      <c r="B6" s="161">
        <v>7665</v>
      </c>
      <c r="C6" s="162" t="s">
        <v>559</v>
      </c>
      <c r="D6" s="162" t="s">
        <v>560</v>
      </c>
      <c r="E6" s="165">
        <v>27079443.600000001</v>
      </c>
      <c r="F6" s="165">
        <v>27079443.600000001</v>
      </c>
      <c r="G6" s="167">
        <v>20764485</v>
      </c>
      <c r="H6" s="168">
        <v>23769165</v>
      </c>
    </row>
    <row r="7" spans="1:8" ht="75.75" thickBot="1">
      <c r="A7" s="160" t="s">
        <v>562</v>
      </c>
      <c r="B7" s="161">
        <v>7666</v>
      </c>
      <c r="C7" s="162" t="s">
        <v>559</v>
      </c>
      <c r="D7" s="162" t="s">
        <v>560</v>
      </c>
      <c r="E7" s="165">
        <v>8442698.8800000008</v>
      </c>
      <c r="F7" s="165">
        <v>8442698.8800000008</v>
      </c>
      <c r="G7" s="165">
        <v>6478519.3200000003</v>
      </c>
      <c r="H7" s="168">
        <v>7415979.4800000004</v>
      </c>
    </row>
    <row r="8" spans="1:8" ht="90.75" thickBot="1">
      <c r="A8" s="160" t="s">
        <v>563</v>
      </c>
      <c r="B8" s="162">
        <v>7667</v>
      </c>
      <c r="C8" s="162" t="s">
        <v>564</v>
      </c>
      <c r="D8" s="162" t="s">
        <v>565</v>
      </c>
      <c r="E8" s="166">
        <v>275</v>
      </c>
      <c r="F8" s="166">
        <v>275</v>
      </c>
      <c r="G8" s="173">
        <v>250</v>
      </c>
      <c r="H8" s="174">
        <v>225</v>
      </c>
    </row>
  </sheetData>
  <mergeCells count="6">
    <mergeCell ref="A3:A4"/>
    <mergeCell ref="B3:B4"/>
    <mergeCell ref="A2:H2"/>
    <mergeCell ref="C3:C4"/>
    <mergeCell ref="D3:D4"/>
    <mergeCell ref="E3:H3"/>
  </mergeCells>
  <pageMargins left="0.70866141732283472" right="0.70866141732283472" top="0.74803149606299213" bottom="0.74803149606299213" header="0.31496062992125984" footer="0.31496062992125984"/>
  <pageSetup scale="70" orientation="landscape" horizontalDpi="0" verticalDpi="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3"/>
  <sheetViews>
    <sheetView workbookViewId="0">
      <selection activeCell="B6" sqref="B6"/>
    </sheetView>
  </sheetViews>
  <sheetFormatPr baseColWidth="10" defaultColWidth="9.140625" defaultRowHeight="15"/>
  <cols>
    <col min="2" max="6" width="30.7109375" customWidth="1"/>
    <col min="7" max="7" width="22.5703125" customWidth="1"/>
  </cols>
  <sheetData>
    <row r="2" spans="2:7" ht="18.75">
      <c r="B2" s="391" t="s">
        <v>131</v>
      </c>
      <c r="C2" s="391"/>
      <c r="D2" s="391"/>
      <c r="E2" s="391"/>
      <c r="F2" s="391"/>
    </row>
    <row r="3" spans="2:7" ht="15" customHeight="1">
      <c r="B3" s="25" t="s">
        <v>132</v>
      </c>
      <c r="C3" s="506" t="s">
        <v>587</v>
      </c>
      <c r="D3" s="507"/>
      <c r="E3" s="507"/>
      <c r="F3" s="508"/>
    </row>
    <row r="4" spans="2:7" ht="30">
      <c r="B4" s="23" t="s">
        <v>133</v>
      </c>
      <c r="C4" s="23" t="s">
        <v>86</v>
      </c>
      <c r="D4" s="23" t="s">
        <v>134</v>
      </c>
      <c r="E4" s="23" t="s">
        <v>135</v>
      </c>
      <c r="F4" s="23" t="s">
        <v>136</v>
      </c>
    </row>
    <row r="5" spans="2:7" ht="60">
      <c r="B5" s="205" t="s">
        <v>588</v>
      </c>
      <c r="C5" s="207" t="s">
        <v>610</v>
      </c>
      <c r="D5" s="221">
        <v>1</v>
      </c>
      <c r="E5" s="222">
        <f>15750000/1</f>
        <v>15750000</v>
      </c>
      <c r="F5" s="222">
        <f>+D5*E5</f>
        <v>15750000</v>
      </c>
      <c r="G5" s="223"/>
    </row>
    <row r="6" spans="2:7" ht="72" customHeight="1">
      <c r="B6" s="205" t="s">
        <v>608</v>
      </c>
      <c r="C6" s="207" t="s">
        <v>611</v>
      </c>
      <c r="D6" s="221">
        <v>5</v>
      </c>
      <c r="E6" s="222">
        <f t="shared" ref="E6:E9" si="0">15750000/1</f>
        <v>15750000</v>
      </c>
      <c r="F6" s="222">
        <f t="shared" ref="F6:F10" si="1">+D6*E6</f>
        <v>78750000</v>
      </c>
    </row>
    <row r="7" spans="2:7" ht="72" customHeight="1">
      <c r="B7" s="205" t="s">
        <v>614</v>
      </c>
      <c r="C7" s="207" t="s">
        <v>613</v>
      </c>
      <c r="D7" s="221">
        <v>40</v>
      </c>
      <c r="E7" s="222">
        <f t="shared" si="0"/>
        <v>15750000</v>
      </c>
      <c r="F7" s="222">
        <f t="shared" si="1"/>
        <v>630000000</v>
      </c>
    </row>
    <row r="8" spans="2:7" ht="72" customHeight="1">
      <c r="B8" s="205" t="s">
        <v>609</v>
      </c>
      <c r="C8" s="207" t="s">
        <v>611</v>
      </c>
      <c r="D8" s="221">
        <v>12</v>
      </c>
      <c r="E8" s="222">
        <f t="shared" si="0"/>
        <v>15750000</v>
      </c>
      <c r="F8" s="222">
        <f t="shared" si="1"/>
        <v>189000000</v>
      </c>
    </row>
    <row r="9" spans="2:7" ht="72" customHeight="1">
      <c r="B9" s="205" t="s">
        <v>612</v>
      </c>
      <c r="C9" s="207" t="s">
        <v>610</v>
      </c>
      <c r="D9" s="221">
        <v>1</v>
      </c>
      <c r="E9" s="222">
        <f t="shared" si="0"/>
        <v>15750000</v>
      </c>
      <c r="F9" s="222">
        <f t="shared" si="1"/>
        <v>15750000</v>
      </c>
    </row>
    <row r="10" spans="2:7" ht="45">
      <c r="B10" s="28" t="s">
        <v>589</v>
      </c>
      <c r="C10" s="152" t="s">
        <v>611</v>
      </c>
      <c r="D10" s="221">
        <v>6</v>
      </c>
      <c r="E10" s="222">
        <f>94950000/6</f>
        <v>15825000</v>
      </c>
      <c r="F10" s="222">
        <f t="shared" si="1"/>
        <v>94950000</v>
      </c>
    </row>
    <row r="11" spans="2:7" ht="45" customHeight="1">
      <c r="B11" s="500" t="s">
        <v>650</v>
      </c>
      <c r="C11" s="501"/>
      <c r="D11" s="501"/>
      <c r="E11" s="502"/>
      <c r="F11" s="225">
        <f>SUM(F5:F10)</f>
        <v>1024200000</v>
      </c>
    </row>
    <row r="12" spans="2:7" ht="18.75">
      <c r="B12" s="391" t="s">
        <v>131</v>
      </c>
      <c r="C12" s="391"/>
      <c r="D12" s="391"/>
      <c r="E12" s="391"/>
      <c r="F12" s="391"/>
    </row>
    <row r="13" spans="2:7">
      <c r="B13" s="20"/>
      <c r="C13" s="506" t="s">
        <v>594</v>
      </c>
      <c r="D13" s="507"/>
      <c r="E13" s="507"/>
      <c r="F13" s="508"/>
    </row>
    <row r="14" spans="2:7" ht="60">
      <c r="B14" s="28" t="s">
        <v>591</v>
      </c>
      <c r="C14" s="152" t="s">
        <v>610</v>
      </c>
      <c r="D14" s="221">
        <v>1</v>
      </c>
      <c r="E14" s="222">
        <f>39500000/1</f>
        <v>39500000</v>
      </c>
      <c r="F14" s="224">
        <f>+D14*E14</f>
        <v>39500000</v>
      </c>
    </row>
    <row r="15" spans="2:7" ht="45">
      <c r="B15" s="28" t="s">
        <v>595</v>
      </c>
      <c r="C15" s="152" t="s">
        <v>610</v>
      </c>
      <c r="D15" s="221">
        <v>1</v>
      </c>
      <c r="E15" s="222">
        <f>218157003.85/1</f>
        <v>218157003.84999999</v>
      </c>
      <c r="F15" s="224">
        <f t="shared" ref="F15:F28" si="2">+D15*E15</f>
        <v>218157003.84999999</v>
      </c>
    </row>
    <row r="16" spans="2:7" ht="30">
      <c r="B16" s="28" t="s">
        <v>596</v>
      </c>
      <c r="C16" s="152" t="s">
        <v>610</v>
      </c>
      <c r="D16" s="221">
        <v>1</v>
      </c>
      <c r="E16" s="222">
        <f>50681629.48/1</f>
        <v>50681629.479999997</v>
      </c>
      <c r="F16" s="224">
        <f t="shared" si="2"/>
        <v>50681629.479999997</v>
      </c>
    </row>
    <row r="17" spans="2:6" ht="45">
      <c r="B17" s="28" t="s">
        <v>597</v>
      </c>
      <c r="C17" s="152" t="s">
        <v>610</v>
      </c>
      <c r="D17" s="221">
        <v>1</v>
      </c>
      <c r="E17" s="222">
        <f>7786005.19/1</f>
        <v>7786005.1900000004</v>
      </c>
      <c r="F17" s="224">
        <f t="shared" si="2"/>
        <v>7786005.1900000004</v>
      </c>
    </row>
    <row r="18" spans="2:6" ht="45">
      <c r="B18" s="28" t="s">
        <v>598</v>
      </c>
      <c r="C18" s="152" t="s">
        <v>610</v>
      </c>
      <c r="D18" s="221">
        <v>1</v>
      </c>
      <c r="E18" s="222">
        <f>29170559.42/1</f>
        <v>29170559.420000002</v>
      </c>
      <c r="F18" s="224">
        <f t="shared" si="2"/>
        <v>29170559.420000002</v>
      </c>
    </row>
    <row r="19" spans="2:6" ht="45">
      <c r="B19" s="28" t="s">
        <v>599</v>
      </c>
      <c r="C19" s="152" t="s">
        <v>610</v>
      </c>
      <c r="D19" s="221">
        <v>1</v>
      </c>
      <c r="E19" s="222">
        <f>3250365.3/1</f>
        <v>3250365.3</v>
      </c>
      <c r="F19" s="224">
        <f t="shared" si="2"/>
        <v>3250365.3</v>
      </c>
    </row>
    <row r="20" spans="2:6" ht="45">
      <c r="B20" s="28" t="s">
        <v>600</v>
      </c>
      <c r="C20" s="152" t="s">
        <v>610</v>
      </c>
      <c r="D20" s="221">
        <v>1</v>
      </c>
      <c r="E20" s="222">
        <f>12921194.51/1</f>
        <v>12921194.51</v>
      </c>
      <c r="F20" s="224">
        <f t="shared" si="2"/>
        <v>12921194.51</v>
      </c>
    </row>
    <row r="21" spans="2:6" ht="45">
      <c r="B21" s="28" t="s">
        <v>601</v>
      </c>
      <c r="C21" s="152" t="s">
        <v>610</v>
      </c>
      <c r="D21" s="221">
        <v>1</v>
      </c>
      <c r="E21" s="222">
        <f>16989777.05/1</f>
        <v>16989777.050000001</v>
      </c>
      <c r="F21" s="224">
        <f t="shared" si="2"/>
        <v>16989777.050000001</v>
      </c>
    </row>
    <row r="22" spans="2:6" ht="45">
      <c r="B22" s="28" t="s">
        <v>602</v>
      </c>
      <c r="C22" s="152" t="s">
        <v>610</v>
      </c>
      <c r="D22" s="221">
        <v>1</v>
      </c>
      <c r="E22" s="222">
        <f>20604510.16/1</f>
        <v>20604510.16</v>
      </c>
      <c r="F22" s="224">
        <f t="shared" si="2"/>
        <v>20604510.16</v>
      </c>
    </row>
    <row r="23" spans="2:6" ht="45">
      <c r="B23" s="28" t="s">
        <v>603</v>
      </c>
      <c r="C23" s="152" t="s">
        <v>610</v>
      </c>
      <c r="D23" s="221">
        <v>1</v>
      </c>
      <c r="E23" s="222">
        <f>14622154/1</f>
        <v>14622154</v>
      </c>
      <c r="F23" s="224">
        <f t="shared" si="2"/>
        <v>14622154</v>
      </c>
    </row>
    <row r="24" spans="2:6" ht="60">
      <c r="B24" s="28" t="s">
        <v>604</v>
      </c>
      <c r="C24" s="152" t="s">
        <v>610</v>
      </c>
      <c r="D24" s="221">
        <v>1</v>
      </c>
      <c r="E24" s="222">
        <f>1177152.2/1</f>
        <v>1177152.2</v>
      </c>
      <c r="F24" s="224">
        <f t="shared" si="2"/>
        <v>1177152.2</v>
      </c>
    </row>
    <row r="25" spans="2:6" ht="60">
      <c r="B25" s="28" t="s">
        <v>605</v>
      </c>
      <c r="C25" s="152" t="s">
        <v>610</v>
      </c>
      <c r="D25" s="221">
        <v>1</v>
      </c>
      <c r="E25" s="222">
        <f>11685731.68/1</f>
        <v>11685731.68</v>
      </c>
      <c r="F25" s="224">
        <f t="shared" si="2"/>
        <v>11685731.68</v>
      </c>
    </row>
    <row r="26" spans="2:6" ht="60">
      <c r="B26" s="28" t="s">
        <v>606</v>
      </c>
      <c r="C26" s="152" t="s">
        <v>610</v>
      </c>
      <c r="D26" s="221">
        <v>1</v>
      </c>
      <c r="E26" s="222">
        <f>21382458.1/1</f>
        <v>21382458.100000001</v>
      </c>
      <c r="F26" s="224">
        <f t="shared" si="2"/>
        <v>21382458.100000001</v>
      </c>
    </row>
    <row r="27" spans="2:6" ht="42" customHeight="1">
      <c r="B27" s="209" t="s">
        <v>592</v>
      </c>
      <c r="C27" s="209" t="s">
        <v>610</v>
      </c>
      <c r="D27" s="229">
        <v>1</v>
      </c>
      <c r="E27" s="228">
        <f>40550000/1</f>
        <v>40550000</v>
      </c>
      <c r="F27" s="227">
        <f t="shared" si="2"/>
        <v>40550000</v>
      </c>
    </row>
    <row r="28" spans="2:6" ht="45">
      <c r="B28" s="206" t="s">
        <v>593</v>
      </c>
      <c r="C28" s="209" t="s">
        <v>610</v>
      </c>
      <c r="D28" s="229">
        <v>1</v>
      </c>
      <c r="E28" s="228">
        <f>85000000/1</f>
        <v>85000000</v>
      </c>
      <c r="F28" s="227">
        <f t="shared" si="2"/>
        <v>85000000</v>
      </c>
    </row>
    <row r="29" spans="2:6" ht="45" customHeight="1">
      <c r="B29" s="500" t="s">
        <v>650</v>
      </c>
      <c r="C29" s="501"/>
      <c r="D29" s="501"/>
      <c r="E29" s="502"/>
      <c r="F29" s="225">
        <f>SUM(F14:F28)</f>
        <v>573478540.94000006</v>
      </c>
    </row>
    <row r="30" spans="2:6" ht="18.75">
      <c r="B30" s="468" t="s">
        <v>131</v>
      </c>
      <c r="C30" s="469"/>
      <c r="D30" s="469"/>
      <c r="E30" s="469"/>
      <c r="F30" s="470"/>
    </row>
    <row r="31" spans="2:6" ht="27" customHeight="1">
      <c r="B31" s="89"/>
      <c r="C31" s="503" t="s">
        <v>590</v>
      </c>
      <c r="D31" s="504"/>
      <c r="E31" s="504"/>
      <c r="F31" s="505"/>
    </row>
    <row r="32" spans="2:6" ht="30">
      <c r="B32" s="28" t="s">
        <v>607</v>
      </c>
      <c r="C32" s="208" t="s">
        <v>610</v>
      </c>
      <c r="D32" s="208">
        <v>1</v>
      </c>
      <c r="E32" s="222">
        <f>58500000/1</f>
        <v>58500000</v>
      </c>
      <c r="F32" s="224">
        <f>+D32*E32</f>
        <v>58500000</v>
      </c>
    </row>
    <row r="33" spans="2:6" ht="45" customHeight="1">
      <c r="B33" s="500" t="s">
        <v>650</v>
      </c>
      <c r="C33" s="501"/>
      <c r="D33" s="501"/>
      <c r="E33" s="502"/>
      <c r="F33" s="225">
        <f>+F32</f>
        <v>58500000</v>
      </c>
    </row>
  </sheetData>
  <mergeCells count="9">
    <mergeCell ref="B33:E33"/>
    <mergeCell ref="C31:F31"/>
    <mergeCell ref="B29:E29"/>
    <mergeCell ref="C3:F3"/>
    <mergeCell ref="B2:F2"/>
    <mergeCell ref="B12:F12"/>
    <mergeCell ref="C13:F13"/>
    <mergeCell ref="B30:F30"/>
    <mergeCell ref="B11:E11"/>
  </mergeCells>
  <pageMargins left="0.7" right="0.7" top="0.75" bottom="0.75" header="0.3" footer="0.3"/>
  <pageSetup paperSize="9" scale="86" fitToHeight="0" orientation="landscape" horizontalDpi="360" verticalDpi="36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4"/>
  <sheetViews>
    <sheetView workbookViewId="0">
      <selection activeCell="A25" sqref="A25:E25"/>
    </sheetView>
  </sheetViews>
  <sheetFormatPr baseColWidth="10" defaultColWidth="9.140625" defaultRowHeight="15"/>
  <cols>
    <col min="1" max="5" width="30.7109375" customWidth="1"/>
  </cols>
  <sheetData>
    <row r="1" spans="1:5">
      <c r="B1" s="216"/>
    </row>
    <row r="2" spans="1:5">
      <c r="B2" s="216"/>
    </row>
    <row r="3" spans="1:5" ht="18.75">
      <c r="A3" s="391" t="s">
        <v>137</v>
      </c>
      <c r="B3" s="391"/>
      <c r="C3" s="391"/>
      <c r="D3" s="391"/>
      <c r="E3" s="391"/>
    </row>
    <row r="4" spans="1:5" ht="18.75">
      <c r="A4" s="512" t="s">
        <v>615</v>
      </c>
      <c r="B4" s="513"/>
      <c r="C4" s="513"/>
      <c r="D4" s="513"/>
      <c r="E4" s="514"/>
    </row>
    <row r="5" spans="1:5">
      <c r="A5" s="217" t="s">
        <v>138</v>
      </c>
      <c r="B5" s="217" t="s">
        <v>139</v>
      </c>
      <c r="C5" s="217" t="s">
        <v>140</v>
      </c>
      <c r="D5" s="217" t="s">
        <v>141</v>
      </c>
      <c r="E5" s="217" t="s">
        <v>142</v>
      </c>
    </row>
    <row r="6" spans="1:5">
      <c r="A6" s="509" t="s">
        <v>660</v>
      </c>
      <c r="B6" s="510"/>
      <c r="C6" s="510"/>
      <c r="D6" s="510"/>
      <c r="E6" s="511"/>
    </row>
    <row r="7" spans="1:5" ht="45">
      <c r="A7" s="238" t="s">
        <v>661</v>
      </c>
      <c r="B7" s="207" t="s">
        <v>662</v>
      </c>
      <c r="C7" s="239">
        <v>2</v>
      </c>
      <c r="D7" s="240">
        <v>112410.28</v>
      </c>
      <c r="E7" s="240">
        <f>+D7*C7</f>
        <v>224820.56</v>
      </c>
    </row>
    <row r="8" spans="1:5" ht="30">
      <c r="A8" s="238" t="s">
        <v>663</v>
      </c>
      <c r="B8" s="207" t="s">
        <v>662</v>
      </c>
      <c r="C8" s="239">
        <v>2</v>
      </c>
      <c r="D8" s="240">
        <v>77588.56</v>
      </c>
      <c r="E8" s="240">
        <f t="shared" ref="E8:E46" si="0">+D8*C8</f>
        <v>155177.12</v>
      </c>
    </row>
    <row r="9" spans="1:5" ht="30">
      <c r="A9" s="238" t="s">
        <v>664</v>
      </c>
      <c r="B9" s="207" t="s">
        <v>662</v>
      </c>
      <c r="C9" s="239">
        <v>1</v>
      </c>
      <c r="D9" s="240">
        <v>115710.29</v>
      </c>
      <c r="E9" s="240">
        <f t="shared" si="0"/>
        <v>115710.29</v>
      </c>
    </row>
    <row r="10" spans="1:5" ht="30">
      <c r="A10" s="238" t="s">
        <v>665</v>
      </c>
      <c r="B10" s="207" t="s">
        <v>662</v>
      </c>
      <c r="C10" s="239">
        <v>2</v>
      </c>
      <c r="D10" s="240">
        <v>63512.99</v>
      </c>
      <c r="E10" s="240">
        <f t="shared" si="0"/>
        <v>127025.98</v>
      </c>
    </row>
    <row r="11" spans="1:5" ht="30">
      <c r="A11" s="238" t="s">
        <v>666</v>
      </c>
      <c r="B11" s="207" t="s">
        <v>662</v>
      </c>
      <c r="C11" s="239">
        <v>2</v>
      </c>
      <c r="D11" s="240">
        <v>53752.32</v>
      </c>
      <c r="E11" s="240">
        <f t="shared" si="0"/>
        <v>107504.64</v>
      </c>
    </row>
    <row r="12" spans="1:5" ht="30">
      <c r="A12" s="238" t="s">
        <v>667</v>
      </c>
      <c r="B12" s="207" t="s">
        <v>662</v>
      </c>
      <c r="C12" s="239">
        <v>1</v>
      </c>
      <c r="D12" s="240">
        <v>396015.4</v>
      </c>
      <c r="E12" s="240">
        <f t="shared" si="0"/>
        <v>396015.4</v>
      </c>
    </row>
    <row r="13" spans="1:5">
      <c r="A13" s="238" t="s">
        <v>668</v>
      </c>
      <c r="B13" s="207" t="s">
        <v>662</v>
      </c>
      <c r="C13" s="239">
        <v>1</v>
      </c>
      <c r="D13" s="240">
        <v>38199.51</v>
      </c>
      <c r="E13" s="240">
        <f t="shared" si="0"/>
        <v>38199.51</v>
      </c>
    </row>
    <row r="14" spans="1:5" ht="150">
      <c r="A14" s="26" t="s">
        <v>669</v>
      </c>
      <c r="B14" s="207" t="s">
        <v>662</v>
      </c>
      <c r="C14" s="239">
        <v>6</v>
      </c>
      <c r="D14" s="240">
        <v>58917.56</v>
      </c>
      <c r="E14" s="240">
        <f t="shared" si="0"/>
        <v>353505.36</v>
      </c>
    </row>
    <row r="15" spans="1:5" ht="135">
      <c r="A15" s="26" t="s">
        <v>670</v>
      </c>
      <c r="B15" s="207" t="s">
        <v>662</v>
      </c>
      <c r="C15" s="239">
        <v>1</v>
      </c>
      <c r="D15" s="240">
        <v>123.9</v>
      </c>
      <c r="E15" s="240">
        <f t="shared" si="0"/>
        <v>123.9</v>
      </c>
    </row>
    <row r="16" spans="1:5" ht="90">
      <c r="A16" s="26" t="s">
        <v>671</v>
      </c>
      <c r="B16" s="207" t="s">
        <v>662</v>
      </c>
      <c r="C16" s="239">
        <v>3</v>
      </c>
      <c r="D16" s="240">
        <v>655711.72</v>
      </c>
      <c r="E16" s="240">
        <f t="shared" si="0"/>
        <v>1967135.16</v>
      </c>
    </row>
    <row r="17" spans="1:5" ht="30">
      <c r="A17" s="26" t="s">
        <v>672</v>
      </c>
      <c r="B17" s="207" t="s">
        <v>662</v>
      </c>
      <c r="C17" s="239">
        <v>1</v>
      </c>
      <c r="D17" s="240">
        <v>69801.89</v>
      </c>
      <c r="E17" s="240">
        <f t="shared" si="0"/>
        <v>69801.89</v>
      </c>
    </row>
    <row r="18" spans="1:5" ht="45">
      <c r="A18" s="238" t="s">
        <v>673</v>
      </c>
      <c r="B18" s="207" t="s">
        <v>662</v>
      </c>
      <c r="C18" s="239">
        <v>1</v>
      </c>
      <c r="D18" s="240">
        <v>16599.23</v>
      </c>
      <c r="E18" s="240">
        <f t="shared" si="0"/>
        <v>16599.23</v>
      </c>
    </row>
    <row r="19" spans="1:5" ht="30">
      <c r="A19" s="238" t="s">
        <v>674</v>
      </c>
      <c r="B19" s="207" t="s">
        <v>662</v>
      </c>
      <c r="C19" s="239">
        <v>2</v>
      </c>
      <c r="D19" s="240">
        <v>21677.21</v>
      </c>
      <c r="E19" s="240">
        <f t="shared" si="0"/>
        <v>43354.42</v>
      </c>
    </row>
    <row r="20" spans="1:5" ht="30">
      <c r="A20" s="238" t="s">
        <v>675</v>
      </c>
      <c r="B20" s="207" t="s">
        <v>662</v>
      </c>
      <c r="C20" s="239">
        <v>4</v>
      </c>
      <c r="D20" s="240">
        <v>5320.27</v>
      </c>
      <c r="E20" s="240">
        <f t="shared" si="0"/>
        <v>21281.08</v>
      </c>
    </row>
    <row r="21" spans="1:5" ht="34.5" customHeight="1">
      <c r="A21" s="26" t="s">
        <v>676</v>
      </c>
      <c r="B21" s="207" t="s">
        <v>662</v>
      </c>
      <c r="C21" s="239">
        <v>1</v>
      </c>
      <c r="D21" s="240">
        <v>410405.32</v>
      </c>
      <c r="E21" s="240">
        <f t="shared" si="0"/>
        <v>410405.32</v>
      </c>
    </row>
    <row r="22" spans="1:5" ht="120">
      <c r="A22" s="238" t="s">
        <v>677</v>
      </c>
      <c r="B22" s="207" t="s">
        <v>662</v>
      </c>
      <c r="C22" s="239">
        <v>2</v>
      </c>
      <c r="D22" s="240">
        <v>195172</v>
      </c>
      <c r="E22" s="240">
        <f t="shared" si="0"/>
        <v>390344</v>
      </c>
    </row>
    <row r="23" spans="1:5" ht="60">
      <c r="A23" s="238" t="s">
        <v>678</v>
      </c>
      <c r="B23" s="207" t="s">
        <v>662</v>
      </c>
      <c r="C23" s="239">
        <v>1</v>
      </c>
      <c r="D23" s="240">
        <v>77172</v>
      </c>
      <c r="E23" s="240">
        <f t="shared" si="0"/>
        <v>77172</v>
      </c>
    </row>
    <row r="24" spans="1:5" ht="45">
      <c r="A24" s="238" t="s">
        <v>679</v>
      </c>
      <c r="B24" s="207" t="s">
        <v>662</v>
      </c>
      <c r="C24" s="239">
        <v>1</v>
      </c>
      <c r="D24" s="240">
        <v>490408</v>
      </c>
      <c r="E24" s="240">
        <f t="shared" si="0"/>
        <v>490408</v>
      </c>
    </row>
    <row r="25" spans="1:5" ht="29.25" customHeight="1">
      <c r="A25" s="519" t="s">
        <v>680</v>
      </c>
      <c r="B25" s="520"/>
      <c r="C25" s="520"/>
      <c r="D25" s="520"/>
      <c r="E25" s="521"/>
    </row>
    <row r="26" spans="1:5" ht="120">
      <c r="A26" s="26" t="s">
        <v>681</v>
      </c>
      <c r="B26" s="207" t="s">
        <v>662</v>
      </c>
      <c r="C26" s="239">
        <v>4</v>
      </c>
      <c r="D26" s="240">
        <v>171808</v>
      </c>
      <c r="E26" s="240">
        <f t="shared" si="0"/>
        <v>687232</v>
      </c>
    </row>
    <row r="27" spans="1:5" ht="60">
      <c r="A27" s="238" t="s">
        <v>682</v>
      </c>
      <c r="B27" s="207" t="s">
        <v>662</v>
      </c>
      <c r="C27" s="239">
        <v>4</v>
      </c>
      <c r="D27" s="240">
        <v>21830</v>
      </c>
      <c r="E27" s="240">
        <f t="shared" si="0"/>
        <v>87320</v>
      </c>
    </row>
    <row r="28" spans="1:5" ht="60">
      <c r="A28" s="26" t="s">
        <v>683</v>
      </c>
      <c r="B28" s="207" t="s">
        <v>662</v>
      </c>
      <c r="C28" s="239">
        <v>2</v>
      </c>
      <c r="D28" s="240">
        <v>93810</v>
      </c>
      <c r="E28" s="240">
        <f t="shared" si="0"/>
        <v>187620</v>
      </c>
    </row>
    <row r="29" spans="1:5" ht="30">
      <c r="A29" s="238" t="s">
        <v>684</v>
      </c>
      <c r="B29" s="207" t="s">
        <v>662</v>
      </c>
      <c r="C29" s="239">
        <v>2</v>
      </c>
      <c r="D29" s="240">
        <v>40780.800000000003</v>
      </c>
      <c r="E29" s="240">
        <f t="shared" si="0"/>
        <v>81561.600000000006</v>
      </c>
    </row>
    <row r="30" spans="1:5" ht="90">
      <c r="A30" s="238" t="s">
        <v>685</v>
      </c>
      <c r="B30" s="207" t="s">
        <v>662</v>
      </c>
      <c r="C30" s="239">
        <v>2</v>
      </c>
      <c r="D30" s="240">
        <v>198110.2</v>
      </c>
      <c r="E30" s="240">
        <f t="shared" si="0"/>
        <v>396220.4</v>
      </c>
    </row>
    <row r="31" spans="1:5" ht="45">
      <c r="A31" s="238" t="s">
        <v>686</v>
      </c>
      <c r="B31" s="207" t="s">
        <v>662</v>
      </c>
      <c r="C31" s="239">
        <v>2</v>
      </c>
      <c r="D31" s="240">
        <v>5380.8</v>
      </c>
      <c r="E31" s="240">
        <f t="shared" si="0"/>
        <v>10761.6</v>
      </c>
    </row>
    <row r="32" spans="1:5" ht="75">
      <c r="A32" s="238" t="s">
        <v>687</v>
      </c>
      <c r="B32" s="207" t="s">
        <v>662</v>
      </c>
      <c r="C32" s="239">
        <v>6</v>
      </c>
      <c r="D32" s="240">
        <v>150450</v>
      </c>
      <c r="E32" s="240">
        <f t="shared" si="0"/>
        <v>902700</v>
      </c>
    </row>
    <row r="33" spans="1:5" ht="45">
      <c r="A33" s="238" t="s">
        <v>688</v>
      </c>
      <c r="B33" s="207" t="s">
        <v>662</v>
      </c>
      <c r="C33" s="239">
        <v>1</v>
      </c>
      <c r="D33" s="240">
        <v>1300</v>
      </c>
      <c r="E33" s="240">
        <f t="shared" si="0"/>
        <v>1300</v>
      </c>
    </row>
    <row r="34" spans="1:5" ht="30">
      <c r="A34" s="238" t="s">
        <v>689</v>
      </c>
      <c r="B34" s="207" t="s">
        <v>662</v>
      </c>
      <c r="C34" s="239">
        <v>1</v>
      </c>
      <c r="D34" s="240">
        <v>270000</v>
      </c>
      <c r="E34" s="240">
        <f t="shared" si="0"/>
        <v>270000</v>
      </c>
    </row>
    <row r="35" spans="1:5" ht="25.5" customHeight="1">
      <c r="A35" s="522" t="s">
        <v>690</v>
      </c>
      <c r="B35" s="523"/>
      <c r="C35" s="523"/>
      <c r="D35" s="523"/>
      <c r="E35" s="524"/>
    </row>
    <row r="36" spans="1:5" ht="120">
      <c r="A36" s="238" t="s">
        <v>681</v>
      </c>
      <c r="B36" s="207" t="s">
        <v>662</v>
      </c>
      <c r="C36" s="239">
        <v>4</v>
      </c>
      <c r="D36" s="240">
        <v>171808</v>
      </c>
      <c r="E36" s="240">
        <v>687232</v>
      </c>
    </row>
    <row r="37" spans="1:5" ht="60">
      <c r="A37" s="238" t="s">
        <v>682</v>
      </c>
      <c r="B37" s="207" t="s">
        <v>662</v>
      </c>
      <c r="C37" s="239">
        <v>4</v>
      </c>
      <c r="D37" s="240">
        <v>21830</v>
      </c>
      <c r="E37" s="240">
        <v>87320</v>
      </c>
    </row>
    <row r="38" spans="1:5" ht="60">
      <c r="A38" s="238" t="s">
        <v>683</v>
      </c>
      <c r="B38" s="207" t="s">
        <v>662</v>
      </c>
      <c r="C38" s="239">
        <v>2</v>
      </c>
      <c r="D38" s="240">
        <v>93810</v>
      </c>
      <c r="E38" s="240">
        <v>187620</v>
      </c>
    </row>
    <row r="39" spans="1:5" ht="30">
      <c r="A39" s="238" t="s">
        <v>684</v>
      </c>
      <c r="B39" s="207" t="s">
        <v>662</v>
      </c>
      <c r="C39" s="239">
        <v>2</v>
      </c>
      <c r="D39" s="240">
        <v>40780.800000000003</v>
      </c>
      <c r="E39" s="240">
        <v>81561.600000000006</v>
      </c>
    </row>
    <row r="40" spans="1:5" ht="90">
      <c r="A40" s="238" t="s">
        <v>685</v>
      </c>
      <c r="B40" s="207" t="s">
        <v>662</v>
      </c>
      <c r="C40" s="239">
        <v>2</v>
      </c>
      <c r="D40" s="240">
        <v>198110.2</v>
      </c>
      <c r="E40" s="240">
        <v>396220.4</v>
      </c>
    </row>
    <row r="41" spans="1:5" ht="45">
      <c r="A41" s="238" t="s">
        <v>686</v>
      </c>
      <c r="B41" s="207" t="s">
        <v>662</v>
      </c>
      <c r="C41" s="239">
        <v>2</v>
      </c>
      <c r="D41" s="240">
        <v>5380.8</v>
      </c>
      <c r="E41" s="240">
        <v>10761.6</v>
      </c>
    </row>
    <row r="42" spans="1:5" ht="75">
      <c r="A42" s="238" t="s">
        <v>687</v>
      </c>
      <c r="B42" s="207" t="s">
        <v>662</v>
      </c>
      <c r="C42" s="239">
        <v>6</v>
      </c>
      <c r="D42" s="240">
        <v>150450</v>
      </c>
      <c r="E42" s="240">
        <v>902700</v>
      </c>
    </row>
    <row r="43" spans="1:5" ht="45">
      <c r="A43" s="238" t="s">
        <v>688</v>
      </c>
      <c r="B43" s="207" t="s">
        <v>662</v>
      </c>
      <c r="C43" s="239">
        <v>1</v>
      </c>
      <c r="D43" s="240">
        <v>1300</v>
      </c>
      <c r="E43" s="240">
        <v>1300</v>
      </c>
    </row>
    <row r="44" spans="1:5" ht="30">
      <c r="A44" s="238" t="s">
        <v>689</v>
      </c>
      <c r="B44" s="207" t="s">
        <v>662</v>
      </c>
      <c r="C44" s="239">
        <v>1</v>
      </c>
      <c r="D44" s="240">
        <v>270000</v>
      </c>
      <c r="E44" s="240">
        <v>270000</v>
      </c>
    </row>
    <row r="45" spans="1:5" ht="60">
      <c r="A45" s="238" t="s">
        <v>691</v>
      </c>
      <c r="B45" s="207" t="s">
        <v>662</v>
      </c>
      <c r="C45" s="239">
        <v>1</v>
      </c>
      <c r="D45" s="240">
        <v>180000</v>
      </c>
      <c r="E45" s="240">
        <f t="shared" si="0"/>
        <v>180000</v>
      </c>
    </row>
    <row r="46" spans="1:5">
      <c r="A46" s="238" t="s">
        <v>692</v>
      </c>
      <c r="B46" s="207" t="s">
        <v>693</v>
      </c>
      <c r="C46" s="239">
        <v>1</v>
      </c>
      <c r="D46" s="240">
        <f>0.279*(SUM(E36:E45,E26:E34,E7:E24))</f>
        <v>2911090.2017400009</v>
      </c>
      <c r="E46" s="240">
        <f t="shared" si="0"/>
        <v>2911090.2017400009</v>
      </c>
    </row>
    <row r="47" spans="1:5">
      <c r="A47" s="515" t="s">
        <v>143</v>
      </c>
      <c r="B47" s="515"/>
      <c r="C47" s="515"/>
      <c r="D47" s="515"/>
      <c r="E47" s="249">
        <f>+SUM(E36:E46,E26:E34,E7:E24)</f>
        <v>13345105.261740001</v>
      </c>
    </row>
    <row r="48" spans="1:5">
      <c r="A48" s="242"/>
      <c r="B48" s="242"/>
      <c r="C48" s="242"/>
      <c r="D48" s="242"/>
      <c r="E48" s="243"/>
    </row>
    <row r="49" spans="1:5">
      <c r="B49" s="216"/>
    </row>
    <row r="50" spans="1:5" ht="18.75">
      <c r="A50" s="391" t="s">
        <v>137</v>
      </c>
      <c r="B50" s="391"/>
      <c r="C50" s="391"/>
      <c r="D50" s="391"/>
      <c r="E50" s="391"/>
    </row>
    <row r="51" spans="1:5" ht="18.75">
      <c r="A51" s="512" t="s">
        <v>787</v>
      </c>
      <c r="B51" s="513"/>
      <c r="C51" s="513"/>
      <c r="D51" s="513"/>
      <c r="E51" s="514"/>
    </row>
    <row r="52" spans="1:5">
      <c r="A52" s="217" t="s">
        <v>138</v>
      </c>
      <c r="B52" s="217" t="s">
        <v>139</v>
      </c>
      <c r="C52" s="217" t="s">
        <v>140</v>
      </c>
      <c r="D52" s="217" t="s">
        <v>141</v>
      </c>
      <c r="E52" s="217" t="s">
        <v>142</v>
      </c>
    </row>
    <row r="53" spans="1:5" ht="45">
      <c r="A53" s="238" t="s">
        <v>788</v>
      </c>
      <c r="B53" s="207" t="s">
        <v>693</v>
      </c>
      <c r="C53" s="239">
        <v>1</v>
      </c>
      <c r="D53" s="240">
        <v>61698633.340000004</v>
      </c>
      <c r="E53" s="240">
        <f>+D53*C53</f>
        <v>61698633.340000004</v>
      </c>
    </row>
    <row r="54" spans="1:5">
      <c r="A54" s="515" t="s">
        <v>143</v>
      </c>
      <c r="B54" s="515"/>
      <c r="C54" s="515"/>
      <c r="D54" s="515"/>
      <c r="E54" s="249">
        <f>+E53</f>
        <v>61698633.340000004</v>
      </c>
    </row>
    <row r="55" spans="1:5">
      <c r="A55" s="242"/>
      <c r="B55" s="242"/>
      <c r="C55" s="242"/>
      <c r="D55" s="242"/>
      <c r="E55" s="245"/>
    </row>
    <row r="56" spans="1:5">
      <c r="B56" s="216"/>
    </row>
    <row r="57" spans="1:5" ht="18.75">
      <c r="A57" s="391" t="s">
        <v>137</v>
      </c>
      <c r="B57" s="391"/>
      <c r="C57" s="391"/>
      <c r="D57" s="391"/>
      <c r="E57" s="391"/>
    </row>
    <row r="58" spans="1:5" ht="18.75">
      <c r="A58" s="512" t="s">
        <v>789</v>
      </c>
      <c r="B58" s="513"/>
      <c r="C58" s="513"/>
      <c r="D58" s="513"/>
      <c r="E58" s="514"/>
    </row>
    <row r="59" spans="1:5">
      <c r="A59" s="217" t="s">
        <v>138</v>
      </c>
      <c r="B59" s="217" t="s">
        <v>139</v>
      </c>
      <c r="C59" s="217" t="s">
        <v>140</v>
      </c>
      <c r="D59" s="217" t="s">
        <v>141</v>
      </c>
      <c r="E59" s="217" t="s">
        <v>142</v>
      </c>
    </row>
    <row r="60" spans="1:5">
      <c r="A60" s="509" t="s">
        <v>694</v>
      </c>
      <c r="B60" s="510"/>
      <c r="C60" s="510"/>
      <c r="D60" s="510"/>
      <c r="E60" s="511"/>
    </row>
    <row r="61" spans="1:5" ht="45">
      <c r="A61" s="238" t="s">
        <v>790</v>
      </c>
      <c r="B61" s="207" t="s">
        <v>698</v>
      </c>
      <c r="C61" s="239">
        <v>20580.000000000004</v>
      </c>
      <c r="D61" s="240">
        <v>3010</v>
      </c>
      <c r="E61" s="240">
        <f>+D61*C61</f>
        <v>61945800.000000007</v>
      </c>
    </row>
    <row r="62" spans="1:5" ht="45">
      <c r="A62" s="238" t="s">
        <v>791</v>
      </c>
      <c r="B62" s="207" t="s">
        <v>698</v>
      </c>
      <c r="C62" s="239">
        <v>9030</v>
      </c>
      <c r="D62" s="240">
        <v>3010</v>
      </c>
      <c r="E62" s="240">
        <f t="shared" ref="E62:E90" si="1">+D62*C62</f>
        <v>27180300</v>
      </c>
    </row>
    <row r="63" spans="1:5" ht="45">
      <c r="A63" s="238" t="s">
        <v>792</v>
      </c>
      <c r="B63" s="207" t="s">
        <v>698</v>
      </c>
      <c r="C63" s="239">
        <v>7350</v>
      </c>
      <c r="D63" s="240">
        <v>3010</v>
      </c>
      <c r="E63" s="240">
        <f t="shared" si="1"/>
        <v>22123500</v>
      </c>
    </row>
    <row r="64" spans="1:5" ht="45">
      <c r="A64" s="238" t="s">
        <v>793</v>
      </c>
      <c r="B64" s="207" t="s">
        <v>698</v>
      </c>
      <c r="C64" s="239">
        <v>2500</v>
      </c>
      <c r="D64" s="240">
        <v>2514</v>
      </c>
      <c r="E64" s="240">
        <f t="shared" si="1"/>
        <v>6285000</v>
      </c>
    </row>
    <row r="65" spans="1:5">
      <c r="A65" s="238" t="s">
        <v>727</v>
      </c>
      <c r="B65" s="207" t="s">
        <v>698</v>
      </c>
      <c r="C65" s="239">
        <v>4020.7024754896652</v>
      </c>
      <c r="D65" s="240">
        <v>320</v>
      </c>
      <c r="E65" s="240">
        <f>+D65*C65</f>
        <v>1286624.7921566928</v>
      </c>
    </row>
    <row r="66" spans="1:5" ht="45">
      <c r="A66" s="238" t="s">
        <v>794</v>
      </c>
      <c r="B66" s="207" t="s">
        <v>698</v>
      </c>
      <c r="C66" s="239">
        <v>32939.297524510337</v>
      </c>
      <c r="D66" s="240">
        <v>1150</v>
      </c>
      <c r="E66" s="240">
        <f t="shared" si="1"/>
        <v>37880192.153186888</v>
      </c>
    </row>
    <row r="67" spans="1:5">
      <c r="A67" s="509" t="s">
        <v>795</v>
      </c>
      <c r="B67" s="510"/>
      <c r="C67" s="510"/>
      <c r="D67" s="510"/>
      <c r="E67" s="511"/>
    </row>
    <row r="68" spans="1:5">
      <c r="A68" s="238" t="s">
        <v>739</v>
      </c>
      <c r="B68" s="207" t="s">
        <v>729</v>
      </c>
      <c r="C68" s="239">
        <v>49000</v>
      </c>
      <c r="D68" s="240">
        <v>321.24</v>
      </c>
      <c r="E68" s="240">
        <f t="shared" si="1"/>
        <v>15740760</v>
      </c>
    </row>
    <row r="69" spans="1:5">
      <c r="A69" s="238" t="s">
        <v>742</v>
      </c>
      <c r="B69" s="207" t="s">
        <v>729</v>
      </c>
      <c r="C69" s="239">
        <v>21500</v>
      </c>
      <c r="D69" s="240">
        <v>404.03</v>
      </c>
      <c r="E69" s="240">
        <f t="shared" si="1"/>
        <v>8686645</v>
      </c>
    </row>
    <row r="70" spans="1:5">
      <c r="A70" s="238" t="s">
        <v>796</v>
      </c>
      <c r="B70" s="207" t="s">
        <v>729</v>
      </c>
      <c r="C70" s="239">
        <v>10000</v>
      </c>
      <c r="D70" s="240">
        <v>1144.83</v>
      </c>
      <c r="E70" s="240">
        <f t="shared" si="1"/>
        <v>11448300</v>
      </c>
    </row>
    <row r="71" spans="1:5">
      <c r="A71" s="238" t="s">
        <v>797</v>
      </c>
      <c r="B71" s="207" t="s">
        <v>731</v>
      </c>
      <c r="C71" s="239">
        <v>595</v>
      </c>
      <c r="D71" s="240">
        <v>2500</v>
      </c>
      <c r="E71" s="240">
        <f t="shared" si="1"/>
        <v>1487500</v>
      </c>
    </row>
    <row r="72" spans="1:5">
      <c r="A72" s="238" t="s">
        <v>798</v>
      </c>
      <c r="B72" s="207" t="s">
        <v>610</v>
      </c>
      <c r="C72" s="239">
        <v>10</v>
      </c>
      <c r="D72" s="240">
        <v>4615</v>
      </c>
      <c r="E72" s="240">
        <f t="shared" si="1"/>
        <v>46150</v>
      </c>
    </row>
    <row r="73" spans="1:5">
      <c r="A73" s="238" t="s">
        <v>744</v>
      </c>
      <c r="B73" s="207" t="s">
        <v>610</v>
      </c>
      <c r="C73" s="239">
        <v>6</v>
      </c>
      <c r="D73" s="240">
        <v>5305</v>
      </c>
      <c r="E73" s="240">
        <f t="shared" si="1"/>
        <v>31830</v>
      </c>
    </row>
    <row r="74" spans="1:5">
      <c r="A74" s="238" t="s">
        <v>799</v>
      </c>
      <c r="B74" s="207" t="s">
        <v>610</v>
      </c>
      <c r="C74" s="239">
        <v>4</v>
      </c>
      <c r="D74" s="240">
        <v>5546</v>
      </c>
      <c r="E74" s="240">
        <f t="shared" si="1"/>
        <v>22184</v>
      </c>
    </row>
    <row r="75" spans="1:5">
      <c r="A75" s="238" t="s">
        <v>800</v>
      </c>
      <c r="B75" s="207" t="s">
        <v>610</v>
      </c>
      <c r="C75" s="239">
        <v>5</v>
      </c>
      <c r="D75" s="240">
        <v>30869.02</v>
      </c>
      <c r="E75" s="240">
        <f t="shared" si="1"/>
        <v>154345.1</v>
      </c>
    </row>
    <row r="76" spans="1:5">
      <c r="A76" s="238" t="s">
        <v>801</v>
      </c>
      <c r="B76" s="207" t="s">
        <v>610</v>
      </c>
      <c r="C76" s="239">
        <v>3</v>
      </c>
      <c r="D76" s="240">
        <v>35734.699999999997</v>
      </c>
      <c r="E76" s="240">
        <f t="shared" si="1"/>
        <v>107204.09999999999</v>
      </c>
    </row>
    <row r="77" spans="1:5">
      <c r="A77" s="238" t="s">
        <v>802</v>
      </c>
      <c r="B77" s="207" t="s">
        <v>610</v>
      </c>
      <c r="C77" s="239">
        <v>2</v>
      </c>
      <c r="D77" s="240">
        <v>45971.799999999996</v>
      </c>
      <c r="E77" s="240">
        <f t="shared" si="1"/>
        <v>91943.599999999991</v>
      </c>
    </row>
    <row r="78" spans="1:5">
      <c r="A78" s="238" t="s">
        <v>803</v>
      </c>
      <c r="B78" s="207" t="s">
        <v>610</v>
      </c>
      <c r="C78" s="239">
        <v>3</v>
      </c>
      <c r="D78" s="240">
        <v>1450</v>
      </c>
      <c r="E78" s="240">
        <f t="shared" si="1"/>
        <v>4350</v>
      </c>
    </row>
    <row r="79" spans="1:5">
      <c r="A79" s="238" t="s">
        <v>804</v>
      </c>
      <c r="B79" s="207" t="s">
        <v>610</v>
      </c>
      <c r="C79" s="239">
        <v>3</v>
      </c>
      <c r="D79" s="240">
        <v>2985</v>
      </c>
      <c r="E79" s="240">
        <f t="shared" si="1"/>
        <v>8955</v>
      </c>
    </row>
    <row r="80" spans="1:5">
      <c r="A80" s="238" t="s">
        <v>805</v>
      </c>
      <c r="B80" s="207" t="s">
        <v>610</v>
      </c>
      <c r="C80" s="239">
        <v>3</v>
      </c>
      <c r="D80" s="240">
        <v>4520</v>
      </c>
      <c r="E80" s="240">
        <f t="shared" si="1"/>
        <v>13560</v>
      </c>
    </row>
    <row r="81" spans="1:5">
      <c r="A81" s="238" t="s">
        <v>721</v>
      </c>
      <c r="B81" s="207" t="s">
        <v>693</v>
      </c>
      <c r="C81" s="239">
        <v>1</v>
      </c>
      <c r="D81" s="240">
        <v>2737700</v>
      </c>
      <c r="E81" s="240">
        <f t="shared" si="1"/>
        <v>2737700</v>
      </c>
    </row>
    <row r="82" spans="1:5">
      <c r="A82" s="238" t="s">
        <v>716</v>
      </c>
      <c r="B82" s="207" t="s">
        <v>693</v>
      </c>
      <c r="C82" s="239">
        <v>1</v>
      </c>
      <c r="D82" s="240">
        <v>40000</v>
      </c>
      <c r="E82" s="240">
        <f t="shared" si="1"/>
        <v>40000</v>
      </c>
    </row>
    <row r="83" spans="1:5">
      <c r="A83" s="509" t="s">
        <v>806</v>
      </c>
      <c r="B83" s="510"/>
      <c r="C83" s="510"/>
      <c r="D83" s="510"/>
      <c r="E83" s="511"/>
    </row>
    <row r="84" spans="1:5">
      <c r="A84" s="238" t="s">
        <v>739</v>
      </c>
      <c r="B84" s="207" t="s">
        <v>610</v>
      </c>
      <c r="C84" s="239">
        <v>49000</v>
      </c>
      <c r="D84" s="240">
        <v>112.434</v>
      </c>
      <c r="E84" s="240">
        <f t="shared" si="1"/>
        <v>5509266</v>
      </c>
    </row>
    <row r="85" spans="1:5">
      <c r="A85" s="238" t="s">
        <v>742</v>
      </c>
      <c r="B85" s="207" t="s">
        <v>610</v>
      </c>
      <c r="C85" s="239">
        <v>21500</v>
      </c>
      <c r="D85" s="240">
        <v>141.41049999999998</v>
      </c>
      <c r="E85" s="240">
        <f t="shared" si="1"/>
        <v>3040325.7499999995</v>
      </c>
    </row>
    <row r="86" spans="1:5">
      <c r="A86" s="238" t="s">
        <v>796</v>
      </c>
      <c r="B86" s="207" t="s">
        <v>610</v>
      </c>
      <c r="C86" s="239">
        <v>10000</v>
      </c>
      <c r="D86" s="240">
        <v>400.69049999999993</v>
      </c>
      <c r="E86" s="240">
        <f t="shared" si="1"/>
        <v>4006904.9999999991</v>
      </c>
    </row>
    <row r="87" spans="1:5">
      <c r="A87" s="238" t="s">
        <v>807</v>
      </c>
      <c r="B87" s="207" t="s">
        <v>610</v>
      </c>
      <c r="C87" s="239">
        <v>10</v>
      </c>
      <c r="D87" s="240">
        <v>26894.286999999997</v>
      </c>
      <c r="E87" s="240">
        <f t="shared" si="1"/>
        <v>268942.87</v>
      </c>
    </row>
    <row r="88" spans="1:5">
      <c r="A88" s="238" t="s">
        <v>808</v>
      </c>
      <c r="B88" s="207" t="s">
        <v>610</v>
      </c>
      <c r="C88" s="239">
        <v>20</v>
      </c>
      <c r="D88" s="240">
        <v>5413.0999999999995</v>
      </c>
      <c r="E88" s="240">
        <f t="shared" si="1"/>
        <v>108261.99999999999</v>
      </c>
    </row>
    <row r="89" spans="1:5">
      <c r="A89" s="238" t="s">
        <v>751</v>
      </c>
      <c r="B89" s="207" t="s">
        <v>610</v>
      </c>
      <c r="C89" s="239">
        <v>9</v>
      </c>
      <c r="D89" s="240">
        <v>6619.076</v>
      </c>
      <c r="E89" s="240">
        <f t="shared" si="1"/>
        <v>59571.684000000001</v>
      </c>
    </row>
    <row r="90" spans="1:5">
      <c r="A90" s="238" t="s">
        <v>692</v>
      </c>
      <c r="B90" s="207" t="s">
        <v>693</v>
      </c>
      <c r="C90" s="239">
        <v>1</v>
      </c>
      <c r="D90" s="240">
        <v>47110810.219052963</v>
      </c>
      <c r="E90" s="240">
        <f t="shared" si="1"/>
        <v>47110810.219052963</v>
      </c>
    </row>
    <row r="91" spans="1:5">
      <c r="A91" s="515" t="s">
        <v>143</v>
      </c>
      <c r="B91" s="515"/>
      <c r="C91" s="515"/>
      <c r="D91" s="515"/>
      <c r="E91" s="249">
        <f>+SUM(E61:E90)</f>
        <v>257426927.26839653</v>
      </c>
    </row>
    <row r="92" spans="1:5">
      <c r="B92" s="216"/>
    </row>
    <row r="93" spans="1:5">
      <c r="B93" s="216"/>
    </row>
    <row r="94" spans="1:5" ht="18.75">
      <c r="A94" s="391" t="s">
        <v>137</v>
      </c>
      <c r="B94" s="391"/>
      <c r="C94" s="391"/>
      <c r="D94" s="391"/>
      <c r="E94" s="391"/>
    </row>
    <row r="95" spans="1:5" ht="18.75">
      <c r="A95" s="512" t="s">
        <v>933</v>
      </c>
      <c r="B95" s="513"/>
      <c r="C95" s="513"/>
      <c r="D95" s="513"/>
      <c r="E95" s="514"/>
    </row>
    <row r="96" spans="1:5">
      <c r="A96" s="217" t="s">
        <v>138</v>
      </c>
      <c r="B96" s="217" t="s">
        <v>139</v>
      </c>
      <c r="C96" s="217" t="s">
        <v>140</v>
      </c>
      <c r="D96" s="217" t="s">
        <v>141</v>
      </c>
      <c r="E96" s="217" t="s">
        <v>142</v>
      </c>
    </row>
    <row r="97" spans="1:5">
      <c r="A97" s="516" t="s">
        <v>694</v>
      </c>
      <c r="B97" s="517"/>
      <c r="C97" s="517"/>
      <c r="D97" s="517"/>
      <c r="E97" s="518"/>
    </row>
    <row r="98" spans="1:5" ht="30">
      <c r="A98" s="238" t="s">
        <v>934</v>
      </c>
      <c r="B98" s="207" t="s">
        <v>698</v>
      </c>
      <c r="C98" s="239">
        <f>2613.6+270</f>
        <v>2883.6</v>
      </c>
      <c r="D98" s="240">
        <v>3010</v>
      </c>
      <c r="E98" s="240">
        <f>+D98*C98+1.937</f>
        <v>8679637.9370000008</v>
      </c>
    </row>
    <row r="99" spans="1:5" ht="30">
      <c r="A99" s="26" t="s">
        <v>935</v>
      </c>
      <c r="B99" s="207" t="s">
        <v>698</v>
      </c>
      <c r="C99" s="239">
        <f>18+540</f>
        <v>558</v>
      </c>
      <c r="D99" s="240">
        <v>3010</v>
      </c>
      <c r="E99" s="240">
        <f t="shared" ref="E99:E124" si="2">+D99*C99</f>
        <v>1679580</v>
      </c>
    </row>
    <row r="100" spans="1:5" ht="30">
      <c r="A100" s="26" t="s">
        <v>936</v>
      </c>
      <c r="B100" s="207" t="s">
        <v>698</v>
      </c>
      <c r="C100" s="239">
        <f>195.4+54+18</f>
        <v>267.39999999999998</v>
      </c>
      <c r="D100" s="240">
        <v>2514</v>
      </c>
      <c r="E100" s="240">
        <f t="shared" si="2"/>
        <v>672243.6</v>
      </c>
    </row>
    <row r="101" spans="1:5">
      <c r="A101" s="26" t="s">
        <v>741</v>
      </c>
      <c r="B101" s="207" t="s">
        <v>698</v>
      </c>
      <c r="C101" s="239">
        <f>425.4135+218.7+32.47</f>
        <v>676.58349999999996</v>
      </c>
      <c r="D101" s="240">
        <v>320</v>
      </c>
      <c r="E101" s="240">
        <f t="shared" si="2"/>
        <v>216506.71999999997</v>
      </c>
    </row>
    <row r="102" spans="1:5" ht="45">
      <c r="A102" s="238" t="s">
        <v>726</v>
      </c>
      <c r="B102" s="207" t="s">
        <v>698</v>
      </c>
      <c r="C102" s="239">
        <f>2347.991+631.8+248.35</f>
        <v>3228.1410000000001</v>
      </c>
      <c r="D102" s="240">
        <v>1150</v>
      </c>
      <c r="E102" s="240">
        <f t="shared" si="2"/>
        <v>3712362.15</v>
      </c>
    </row>
    <row r="103" spans="1:5">
      <c r="A103" s="509" t="s">
        <v>702</v>
      </c>
      <c r="B103" s="510"/>
      <c r="C103" s="510"/>
      <c r="D103" s="510"/>
      <c r="E103" s="511"/>
    </row>
    <row r="104" spans="1:5" ht="30">
      <c r="A104" s="238" t="s">
        <v>937</v>
      </c>
      <c r="B104" s="207" t="s">
        <v>729</v>
      </c>
      <c r="C104" s="239">
        <v>1210</v>
      </c>
      <c r="D104" s="240">
        <v>4521.55</v>
      </c>
      <c r="E104" s="240">
        <f t="shared" si="2"/>
        <v>5471075.5</v>
      </c>
    </row>
    <row r="105" spans="1:5">
      <c r="A105" s="238" t="s">
        <v>938</v>
      </c>
      <c r="B105" s="207" t="s">
        <v>610</v>
      </c>
      <c r="C105" s="239">
        <v>14</v>
      </c>
      <c r="D105" s="240">
        <v>8236</v>
      </c>
      <c r="E105" s="240">
        <f t="shared" si="2"/>
        <v>115304</v>
      </c>
    </row>
    <row r="106" spans="1:5">
      <c r="A106" s="238" t="s">
        <v>939</v>
      </c>
      <c r="B106" s="207" t="s">
        <v>610</v>
      </c>
      <c r="C106" s="239">
        <f>2+60</f>
        <v>62</v>
      </c>
      <c r="D106" s="240">
        <v>15238</v>
      </c>
      <c r="E106" s="240">
        <f t="shared" si="2"/>
        <v>944756</v>
      </c>
    </row>
    <row r="107" spans="1:5">
      <c r="A107" s="238" t="s">
        <v>940</v>
      </c>
      <c r="B107" s="207" t="s">
        <v>610</v>
      </c>
      <c r="C107" s="239">
        <v>1</v>
      </c>
      <c r="D107" s="240">
        <v>104076</v>
      </c>
      <c r="E107" s="240">
        <f t="shared" si="2"/>
        <v>104076</v>
      </c>
    </row>
    <row r="108" spans="1:5">
      <c r="A108" s="238" t="s">
        <v>941</v>
      </c>
      <c r="B108" s="207" t="s">
        <v>610</v>
      </c>
      <c r="C108" s="239">
        <v>60</v>
      </c>
      <c r="D108" s="240">
        <v>5305</v>
      </c>
      <c r="E108" s="240">
        <f t="shared" si="2"/>
        <v>318300</v>
      </c>
    </row>
    <row r="109" spans="1:5">
      <c r="A109" s="238" t="s">
        <v>942</v>
      </c>
      <c r="B109" s="207" t="s">
        <v>610</v>
      </c>
      <c r="C109" s="239">
        <v>30</v>
      </c>
      <c r="D109" s="240">
        <v>10535.45</v>
      </c>
      <c r="E109" s="240">
        <f t="shared" si="2"/>
        <v>316063.5</v>
      </c>
    </row>
    <row r="110" spans="1:5">
      <c r="A110" s="238" t="s">
        <v>943</v>
      </c>
      <c r="B110" s="207" t="s">
        <v>610</v>
      </c>
      <c r="C110" s="239">
        <v>30</v>
      </c>
      <c r="D110" s="240">
        <v>35734.699999999997</v>
      </c>
      <c r="E110" s="240">
        <f t="shared" si="2"/>
        <v>1072041</v>
      </c>
    </row>
    <row r="111" spans="1:5">
      <c r="A111" s="238" t="s">
        <v>944</v>
      </c>
      <c r="B111" s="207" t="s">
        <v>729</v>
      </c>
      <c r="C111" s="239">
        <v>450</v>
      </c>
      <c r="D111" s="240">
        <v>404.03</v>
      </c>
      <c r="E111" s="240">
        <f t="shared" si="2"/>
        <v>181813.5</v>
      </c>
    </row>
    <row r="112" spans="1:5">
      <c r="A112" s="238" t="s">
        <v>945</v>
      </c>
      <c r="B112" s="207" t="s">
        <v>731</v>
      </c>
      <c r="C112" s="239">
        <v>1</v>
      </c>
      <c r="D112" s="240">
        <v>5000</v>
      </c>
      <c r="E112" s="240">
        <f t="shared" si="2"/>
        <v>5000</v>
      </c>
    </row>
    <row r="113" spans="1:5">
      <c r="A113" s="238" t="s">
        <v>749</v>
      </c>
      <c r="B113" s="207" t="s">
        <v>610</v>
      </c>
      <c r="C113" s="239">
        <v>30</v>
      </c>
      <c r="D113" s="240">
        <v>5305</v>
      </c>
      <c r="E113" s="240">
        <f t="shared" si="2"/>
        <v>159150</v>
      </c>
    </row>
    <row r="114" spans="1:5">
      <c r="A114" s="238" t="s">
        <v>716</v>
      </c>
      <c r="B114" s="207" t="s">
        <v>693</v>
      </c>
      <c r="C114" s="239">
        <v>1</v>
      </c>
      <c r="D114" s="240">
        <v>70220.009999999995</v>
      </c>
      <c r="E114" s="240">
        <f t="shared" si="2"/>
        <v>70220.009999999995</v>
      </c>
    </row>
    <row r="115" spans="1:5">
      <c r="A115" s="509" t="s">
        <v>717</v>
      </c>
      <c r="B115" s="510"/>
      <c r="C115" s="510"/>
      <c r="D115" s="510"/>
      <c r="E115" s="511"/>
    </row>
    <row r="116" spans="1:5">
      <c r="A116" s="238" t="s">
        <v>728</v>
      </c>
      <c r="B116" s="207" t="s">
        <v>729</v>
      </c>
      <c r="C116" s="239">
        <v>1210</v>
      </c>
      <c r="D116" s="240">
        <v>1582.5425</v>
      </c>
      <c r="E116" s="240">
        <f t="shared" si="2"/>
        <v>1914876.425</v>
      </c>
    </row>
    <row r="117" spans="1:5">
      <c r="A117" s="238" t="s">
        <v>939</v>
      </c>
      <c r="B117" s="207" t="s">
        <v>610</v>
      </c>
      <c r="C117" s="239">
        <f>2+60</f>
        <v>62</v>
      </c>
      <c r="D117" s="240">
        <v>5333.2999999999993</v>
      </c>
      <c r="E117" s="240">
        <f t="shared" si="2"/>
        <v>330664.59999999998</v>
      </c>
    </row>
    <row r="118" spans="1:5">
      <c r="A118" s="238" t="s">
        <v>940</v>
      </c>
      <c r="B118" s="207" t="s">
        <v>610</v>
      </c>
      <c r="C118" s="239">
        <v>1</v>
      </c>
      <c r="D118" s="240">
        <v>36426.6</v>
      </c>
      <c r="E118" s="240">
        <f t="shared" si="2"/>
        <v>36426.6</v>
      </c>
    </row>
    <row r="119" spans="1:5">
      <c r="A119" s="238" t="s">
        <v>941</v>
      </c>
      <c r="B119" s="207" t="s">
        <v>610</v>
      </c>
      <c r="C119" s="239">
        <v>60</v>
      </c>
      <c r="D119" s="240">
        <v>1856.7499999999998</v>
      </c>
      <c r="E119" s="240">
        <f t="shared" si="2"/>
        <v>111404.99999999999</v>
      </c>
    </row>
    <row r="120" spans="1:5">
      <c r="A120" s="238" t="s">
        <v>942</v>
      </c>
      <c r="B120" s="207" t="s">
        <v>610</v>
      </c>
      <c r="C120" s="239">
        <v>30</v>
      </c>
      <c r="D120" s="240">
        <v>3687.4074999999998</v>
      </c>
      <c r="E120" s="240">
        <f t="shared" si="2"/>
        <v>110622.22499999999</v>
      </c>
    </row>
    <row r="121" spans="1:5">
      <c r="A121" s="247" t="s">
        <v>943</v>
      </c>
      <c r="B121" s="207" t="s">
        <v>610</v>
      </c>
      <c r="C121" s="239">
        <v>30</v>
      </c>
      <c r="D121" s="240">
        <v>12507.144999999999</v>
      </c>
      <c r="E121" s="240">
        <f t="shared" si="2"/>
        <v>375214.35</v>
      </c>
    </row>
    <row r="122" spans="1:5">
      <c r="A122" s="247" t="s">
        <v>944</v>
      </c>
      <c r="B122" s="207" t="s">
        <v>729</v>
      </c>
      <c r="C122" s="239">
        <v>450</v>
      </c>
      <c r="D122" s="240">
        <v>141.41049999999998</v>
      </c>
      <c r="E122" s="240">
        <f t="shared" si="2"/>
        <v>63634.724999999991</v>
      </c>
    </row>
    <row r="123" spans="1:5">
      <c r="A123" s="247" t="s">
        <v>749</v>
      </c>
      <c r="B123" s="207" t="s">
        <v>610</v>
      </c>
      <c r="C123" s="239">
        <v>30</v>
      </c>
      <c r="D123" s="240">
        <v>1856.7499999999998</v>
      </c>
      <c r="E123" s="240">
        <f t="shared" si="2"/>
        <v>55702.499999999993</v>
      </c>
    </row>
    <row r="124" spans="1:5">
      <c r="A124" s="238" t="s">
        <v>721</v>
      </c>
      <c r="B124" s="207" t="s">
        <v>693</v>
      </c>
      <c r="C124" s="239">
        <v>1</v>
      </c>
      <c r="D124" s="240">
        <v>11562500</v>
      </c>
      <c r="E124" s="240">
        <f t="shared" si="2"/>
        <v>11562500</v>
      </c>
    </row>
    <row r="125" spans="1:5">
      <c r="A125" s="238" t="s">
        <v>692</v>
      </c>
      <c r="B125" s="207" t="s">
        <v>693</v>
      </c>
      <c r="C125" s="246">
        <v>1</v>
      </c>
      <c r="D125" s="240">
        <v>12402453.134808</v>
      </c>
      <c r="E125" s="240">
        <f>+D125*C125</f>
        <v>12402453.134808</v>
      </c>
    </row>
    <row r="126" spans="1:5" ht="18.75">
      <c r="A126" s="531" t="s">
        <v>143</v>
      </c>
      <c r="B126" s="531"/>
      <c r="C126" s="531"/>
      <c r="D126" s="531"/>
      <c r="E126" s="250">
        <f>+SUM(E116:E125,E104:E114,E98:E102)</f>
        <v>50681629.476807997</v>
      </c>
    </row>
    <row r="127" spans="1:5">
      <c r="B127" s="216"/>
    </row>
    <row r="128" spans="1:5">
      <c r="B128" s="216"/>
    </row>
    <row r="129" spans="1:6" ht="18.75">
      <c r="A129" s="391" t="s">
        <v>137</v>
      </c>
      <c r="B129" s="391"/>
      <c r="C129" s="391"/>
      <c r="D129" s="391"/>
      <c r="E129" s="391"/>
    </row>
    <row r="130" spans="1:6" ht="18.75">
      <c r="A130" s="512" t="s">
        <v>946</v>
      </c>
      <c r="B130" s="513"/>
      <c r="C130" s="513"/>
      <c r="D130" s="513"/>
      <c r="E130" s="514"/>
    </row>
    <row r="131" spans="1:6">
      <c r="A131" s="217" t="s">
        <v>138</v>
      </c>
      <c r="B131" s="217" t="s">
        <v>139</v>
      </c>
      <c r="C131" s="217" t="s">
        <v>140</v>
      </c>
      <c r="D131" s="217" t="s">
        <v>141</v>
      </c>
      <c r="E131" s="217" t="s">
        <v>142</v>
      </c>
    </row>
    <row r="132" spans="1:6">
      <c r="A132" s="516" t="s">
        <v>694</v>
      </c>
      <c r="B132" s="517"/>
      <c r="C132" s="517"/>
      <c r="D132" s="517"/>
      <c r="E132" s="518"/>
    </row>
    <row r="133" spans="1:6">
      <c r="A133" s="26" t="s">
        <v>695</v>
      </c>
      <c r="B133" s="207" t="s">
        <v>696</v>
      </c>
      <c r="C133" s="239">
        <v>2055.09</v>
      </c>
      <c r="D133" s="240">
        <v>32.5</v>
      </c>
      <c r="E133" s="240">
        <f>+D133*C133</f>
        <v>66790.425000000003</v>
      </c>
    </row>
    <row r="134" spans="1:6" ht="30">
      <c r="A134" s="26" t="s">
        <v>697</v>
      </c>
      <c r="B134" s="207" t="s">
        <v>698</v>
      </c>
      <c r="C134" s="239">
        <v>986.44320000000005</v>
      </c>
      <c r="D134" s="240">
        <v>2250</v>
      </c>
      <c r="E134" s="240">
        <f t="shared" ref="E134:E137" si="3">+D134*C134</f>
        <v>2219497.2000000002</v>
      </c>
    </row>
    <row r="135" spans="1:6" ht="30">
      <c r="A135" s="26" t="s">
        <v>699</v>
      </c>
      <c r="B135" s="207" t="s">
        <v>698</v>
      </c>
      <c r="C135" s="239">
        <v>123.30540000000001</v>
      </c>
      <c r="D135" s="240">
        <v>1420</v>
      </c>
      <c r="E135" s="240">
        <f t="shared" si="3"/>
        <v>175093.66800000001</v>
      </c>
    </row>
    <row r="136" spans="1:6" ht="45">
      <c r="A136" s="26" t="s">
        <v>700</v>
      </c>
      <c r="B136" s="207" t="s">
        <v>698</v>
      </c>
      <c r="C136" s="239">
        <v>924.79050000000007</v>
      </c>
      <c r="D136" s="240">
        <v>541.4</v>
      </c>
      <c r="E136" s="240">
        <f t="shared" si="3"/>
        <v>500681.57670000003</v>
      </c>
    </row>
    <row r="137" spans="1:6">
      <c r="A137" s="26" t="s">
        <v>701</v>
      </c>
      <c r="B137" s="207" t="s">
        <v>698</v>
      </c>
      <c r="C137" s="239">
        <v>517.88268000000005</v>
      </c>
      <c r="D137" s="240">
        <v>386.42</v>
      </c>
      <c r="E137" s="240">
        <f t="shared" si="3"/>
        <v>200120.22520560003</v>
      </c>
    </row>
    <row r="138" spans="1:6">
      <c r="A138" s="516" t="s">
        <v>702</v>
      </c>
      <c r="B138" s="517"/>
      <c r="C138" s="517"/>
      <c r="D138" s="517"/>
      <c r="E138" s="518"/>
    </row>
    <row r="139" spans="1:6">
      <c r="A139" s="26" t="s">
        <v>703</v>
      </c>
      <c r="B139" s="207" t="s">
        <v>704</v>
      </c>
      <c r="C139" s="239">
        <v>391.5</v>
      </c>
      <c r="D139" s="240">
        <v>192.54</v>
      </c>
      <c r="E139" s="240">
        <f>+D139*C139</f>
        <v>75379.41</v>
      </c>
      <c r="F139" s="248"/>
    </row>
    <row r="140" spans="1:6">
      <c r="A140" s="26" t="s">
        <v>705</v>
      </c>
      <c r="B140" s="207" t="s">
        <v>704</v>
      </c>
      <c r="C140" s="239">
        <v>1211.49</v>
      </c>
      <c r="D140" s="240">
        <v>450</v>
      </c>
      <c r="E140" s="240">
        <f t="shared" ref="E140:E150" si="4">+D140*C140</f>
        <v>545170.5</v>
      </c>
      <c r="F140" s="248"/>
    </row>
    <row r="141" spans="1:6">
      <c r="A141" s="26" t="s">
        <v>706</v>
      </c>
      <c r="B141" s="207" t="s">
        <v>704</v>
      </c>
      <c r="C141" s="239">
        <v>452.1</v>
      </c>
      <c r="D141" s="240">
        <v>660</v>
      </c>
      <c r="E141" s="240">
        <f t="shared" si="4"/>
        <v>298386</v>
      </c>
      <c r="F141" s="248"/>
    </row>
    <row r="142" spans="1:6">
      <c r="A142" s="26" t="s">
        <v>707</v>
      </c>
      <c r="B142" s="207" t="s">
        <v>708</v>
      </c>
      <c r="C142" s="239">
        <v>2</v>
      </c>
      <c r="D142" s="240">
        <v>2550</v>
      </c>
      <c r="E142" s="240">
        <f t="shared" si="4"/>
        <v>5100</v>
      </c>
    </row>
    <row r="143" spans="1:6">
      <c r="A143" s="26" t="s">
        <v>709</v>
      </c>
      <c r="B143" s="207" t="s">
        <v>708</v>
      </c>
      <c r="C143" s="239">
        <v>15</v>
      </c>
      <c r="D143" s="240">
        <v>2300</v>
      </c>
      <c r="E143" s="240">
        <f t="shared" si="4"/>
        <v>34500</v>
      </c>
    </row>
    <row r="144" spans="1:6">
      <c r="A144" s="26" t="s">
        <v>710</v>
      </c>
      <c r="B144" s="207" t="s">
        <v>708</v>
      </c>
      <c r="C144" s="239">
        <v>3</v>
      </c>
      <c r="D144" s="240">
        <v>2550</v>
      </c>
      <c r="E144" s="240">
        <f t="shared" si="4"/>
        <v>7650</v>
      </c>
    </row>
    <row r="145" spans="1:6">
      <c r="A145" s="26" t="s">
        <v>711</v>
      </c>
      <c r="B145" s="207" t="s">
        <v>708</v>
      </c>
      <c r="C145" s="239">
        <v>10</v>
      </c>
      <c r="D145" s="240">
        <v>1250</v>
      </c>
      <c r="E145" s="240">
        <f t="shared" si="4"/>
        <v>12500</v>
      </c>
    </row>
    <row r="146" spans="1:6">
      <c r="A146" s="26" t="s">
        <v>712</v>
      </c>
      <c r="B146" s="207" t="s">
        <v>708</v>
      </c>
      <c r="C146" s="239">
        <f>33</f>
        <v>33</v>
      </c>
      <c r="D146" s="240">
        <v>1100</v>
      </c>
      <c r="E146" s="240">
        <f t="shared" si="4"/>
        <v>36300</v>
      </c>
    </row>
    <row r="147" spans="1:6">
      <c r="A147" s="26" t="s">
        <v>713</v>
      </c>
      <c r="B147" s="207" t="s">
        <v>708</v>
      </c>
      <c r="C147" s="239">
        <v>5</v>
      </c>
      <c r="D147" s="240">
        <v>950</v>
      </c>
      <c r="E147" s="240">
        <f t="shared" si="4"/>
        <v>4750</v>
      </c>
    </row>
    <row r="148" spans="1:6">
      <c r="A148" s="26" t="s">
        <v>714</v>
      </c>
      <c r="B148" s="207" t="s">
        <v>708</v>
      </c>
      <c r="C148" s="239">
        <v>1</v>
      </c>
      <c r="D148" s="240">
        <v>1450</v>
      </c>
      <c r="E148" s="240">
        <f t="shared" si="4"/>
        <v>1450</v>
      </c>
    </row>
    <row r="149" spans="1:6">
      <c r="A149" s="26" t="s">
        <v>715</v>
      </c>
      <c r="B149" s="207" t="s">
        <v>708</v>
      </c>
      <c r="C149" s="239">
        <v>1</v>
      </c>
      <c r="D149" s="240">
        <v>1350</v>
      </c>
      <c r="E149" s="240">
        <f t="shared" si="4"/>
        <v>1350</v>
      </c>
    </row>
    <row r="150" spans="1:6">
      <c r="A150" s="26" t="s">
        <v>716</v>
      </c>
      <c r="B150" s="207" t="s">
        <v>693</v>
      </c>
      <c r="C150" s="239">
        <v>1</v>
      </c>
      <c r="D150" s="240">
        <v>40000</v>
      </c>
      <c r="E150" s="240">
        <f t="shared" si="4"/>
        <v>40000</v>
      </c>
    </row>
    <row r="151" spans="1:6">
      <c r="A151" s="509" t="s">
        <v>717</v>
      </c>
      <c r="B151" s="510"/>
      <c r="C151" s="510"/>
      <c r="D151" s="510"/>
      <c r="E151" s="511"/>
    </row>
    <row r="152" spans="1:6">
      <c r="A152" s="26" t="s">
        <v>703</v>
      </c>
      <c r="B152" s="207" t="s">
        <v>704</v>
      </c>
      <c r="C152" s="239">
        <v>391.5</v>
      </c>
      <c r="D152" s="240">
        <v>37.299999999999997</v>
      </c>
      <c r="E152" s="240">
        <f>+D152*C152</f>
        <v>14602.949999999999</v>
      </c>
      <c r="F152" s="248"/>
    </row>
    <row r="153" spans="1:6">
      <c r="A153" s="26" t="s">
        <v>705</v>
      </c>
      <c r="B153" s="207" t="s">
        <v>704</v>
      </c>
      <c r="C153" s="239">
        <f>+C140</f>
        <v>1211.49</v>
      </c>
      <c r="D153" s="240">
        <v>36.299999999999997</v>
      </c>
      <c r="E153" s="240">
        <f t="shared" ref="E153:E157" si="5">+D153*C153</f>
        <v>43977.087</v>
      </c>
    </row>
    <row r="154" spans="1:6">
      <c r="A154" s="26" t="s">
        <v>706</v>
      </c>
      <c r="B154" s="207" t="s">
        <v>704</v>
      </c>
      <c r="C154" s="239">
        <f>+C141</f>
        <v>452.1</v>
      </c>
      <c r="D154" s="240">
        <v>40.15</v>
      </c>
      <c r="E154" s="240">
        <f t="shared" si="5"/>
        <v>18151.814999999999</v>
      </c>
    </row>
    <row r="155" spans="1:6">
      <c r="A155" s="26" t="s">
        <v>718</v>
      </c>
      <c r="B155" s="207" t="s">
        <v>708</v>
      </c>
      <c r="C155" s="239">
        <v>18</v>
      </c>
      <c r="D155" s="240">
        <v>3311.37</v>
      </c>
      <c r="E155" s="240">
        <f t="shared" si="5"/>
        <v>59604.659999999996</v>
      </c>
    </row>
    <row r="156" spans="1:6">
      <c r="A156" s="26" t="s">
        <v>719</v>
      </c>
      <c r="B156" s="207" t="s">
        <v>708</v>
      </c>
      <c r="C156" s="239">
        <v>50</v>
      </c>
      <c r="D156" s="240">
        <v>517.51</v>
      </c>
      <c r="E156" s="240">
        <f t="shared" si="5"/>
        <v>25875.5</v>
      </c>
    </row>
    <row r="157" spans="1:6">
      <c r="A157" s="26" t="s">
        <v>720</v>
      </c>
      <c r="B157" s="207" t="s">
        <v>693</v>
      </c>
      <c r="C157" s="239">
        <v>1</v>
      </c>
      <c r="D157" s="240">
        <v>10000</v>
      </c>
      <c r="E157" s="240">
        <f t="shared" si="5"/>
        <v>10000</v>
      </c>
    </row>
    <row r="158" spans="1:6">
      <c r="A158" s="238" t="s">
        <v>721</v>
      </c>
      <c r="B158" s="207" t="s">
        <v>693</v>
      </c>
      <c r="C158" s="239">
        <v>1</v>
      </c>
      <c r="D158" s="240">
        <v>937500</v>
      </c>
      <c r="E158" s="240">
        <f>+D158*C158</f>
        <v>937500</v>
      </c>
    </row>
    <row r="159" spans="1:6">
      <c r="A159" s="26" t="s">
        <v>692</v>
      </c>
      <c r="B159" s="207" t="s">
        <v>693</v>
      </c>
      <c r="C159" s="239">
        <v>1</v>
      </c>
      <c r="D159" s="240">
        <f>+[3]H6!$G$89</f>
        <v>0</v>
      </c>
      <c r="E159" s="240">
        <f>+D159*C159</f>
        <v>0</v>
      </c>
    </row>
    <row r="160" spans="1:6">
      <c r="A160" s="515" t="s">
        <v>143</v>
      </c>
      <c r="B160" s="515"/>
      <c r="C160" s="515"/>
      <c r="D160" s="515"/>
      <c r="E160" s="249">
        <f>+SUM(E152:E159,E139:E150,E133:E137)</f>
        <v>5334431.0169056002</v>
      </c>
    </row>
    <row r="161" spans="1:5">
      <c r="B161" s="216"/>
    </row>
    <row r="162" spans="1:5">
      <c r="B162" s="216"/>
    </row>
    <row r="163" spans="1:5" ht="18.75">
      <c r="A163" s="391" t="s">
        <v>137</v>
      </c>
      <c r="B163" s="391"/>
      <c r="C163" s="391"/>
      <c r="D163" s="391"/>
      <c r="E163" s="391"/>
    </row>
    <row r="164" spans="1:5" ht="18.75">
      <c r="A164" s="512" t="s">
        <v>616</v>
      </c>
      <c r="B164" s="513"/>
      <c r="C164" s="513"/>
      <c r="D164" s="513"/>
      <c r="E164" s="514"/>
    </row>
    <row r="165" spans="1:5">
      <c r="A165" s="217" t="s">
        <v>138</v>
      </c>
      <c r="B165" s="217" t="s">
        <v>139</v>
      </c>
      <c r="C165" s="217" t="s">
        <v>140</v>
      </c>
      <c r="D165" s="217" t="s">
        <v>141</v>
      </c>
      <c r="E165" s="217" t="s">
        <v>142</v>
      </c>
    </row>
    <row r="166" spans="1:5">
      <c r="A166" s="516" t="s">
        <v>694</v>
      </c>
      <c r="B166" s="517"/>
      <c r="C166" s="517"/>
      <c r="D166" s="517"/>
      <c r="E166" s="518"/>
    </row>
    <row r="167" spans="1:5" ht="45">
      <c r="A167" s="238" t="s">
        <v>919</v>
      </c>
      <c r="B167" s="207" t="s">
        <v>698</v>
      </c>
      <c r="C167" s="239">
        <v>3068.3399999999997</v>
      </c>
      <c r="D167" s="240">
        <v>3010</v>
      </c>
      <c r="E167" s="240">
        <f>+D167*C167</f>
        <v>9235703.3999999985</v>
      </c>
    </row>
    <row r="168" spans="1:5" ht="30">
      <c r="A168" s="26" t="s">
        <v>920</v>
      </c>
      <c r="B168" s="207" t="s">
        <v>698</v>
      </c>
      <c r="C168" s="239">
        <v>316.14</v>
      </c>
      <c r="D168" s="240">
        <v>3010</v>
      </c>
      <c r="E168" s="240">
        <f t="shared" ref="E168:E171" si="6">+D168*C168</f>
        <v>951581.39999999991</v>
      </c>
    </row>
    <row r="169" spans="1:5" ht="45">
      <c r="A169" s="26" t="s">
        <v>921</v>
      </c>
      <c r="B169" s="207" t="s">
        <v>698</v>
      </c>
      <c r="C169" s="239">
        <v>335.57400000000001</v>
      </c>
      <c r="D169" s="240">
        <v>1420</v>
      </c>
      <c r="E169" s="240">
        <f t="shared" si="6"/>
        <v>476515.08</v>
      </c>
    </row>
    <row r="170" spans="1:5">
      <c r="A170" s="26" t="s">
        <v>727</v>
      </c>
      <c r="B170" s="207" t="s">
        <v>698</v>
      </c>
      <c r="C170" s="239">
        <v>477.92280401549777</v>
      </c>
      <c r="D170" s="240">
        <v>386.42</v>
      </c>
      <c r="E170" s="240">
        <f t="shared" si="6"/>
        <v>184678.92992766865</v>
      </c>
    </row>
    <row r="171" spans="1:5" ht="45">
      <c r="A171" s="238" t="s">
        <v>794</v>
      </c>
      <c r="B171" s="207" t="s">
        <v>698</v>
      </c>
      <c r="C171" s="239">
        <v>2906.557195984502</v>
      </c>
      <c r="D171" s="240">
        <v>1150</v>
      </c>
      <c r="E171" s="240">
        <f t="shared" si="6"/>
        <v>3342540.7753821774</v>
      </c>
    </row>
    <row r="172" spans="1:5">
      <c r="A172" s="516" t="s">
        <v>702</v>
      </c>
      <c r="B172" s="517"/>
      <c r="C172" s="517"/>
      <c r="D172" s="517"/>
      <c r="E172" s="518"/>
    </row>
    <row r="173" spans="1:5">
      <c r="A173" s="26" t="s">
        <v>739</v>
      </c>
      <c r="B173" s="207" t="s">
        <v>729</v>
      </c>
      <c r="C173" s="239">
        <v>5113.8999999999996</v>
      </c>
      <c r="D173" s="240">
        <v>450</v>
      </c>
      <c r="E173" s="240">
        <f>+D173*C173</f>
        <v>2301255</v>
      </c>
    </row>
    <row r="174" spans="1:5">
      <c r="A174" s="26" t="s">
        <v>742</v>
      </c>
      <c r="B174" s="207" t="s">
        <v>729</v>
      </c>
      <c r="C174" s="239">
        <v>479</v>
      </c>
      <c r="D174" s="240">
        <v>660</v>
      </c>
      <c r="E174" s="240">
        <f t="shared" ref="E174:E187" si="7">+D174*C174</f>
        <v>316140</v>
      </c>
    </row>
    <row r="175" spans="1:5">
      <c r="A175" s="26" t="s">
        <v>797</v>
      </c>
      <c r="B175" s="207" t="s">
        <v>610</v>
      </c>
      <c r="C175" s="239">
        <v>12</v>
      </c>
      <c r="D175" s="240">
        <v>5000</v>
      </c>
      <c r="E175" s="240">
        <f t="shared" si="7"/>
        <v>60000</v>
      </c>
    </row>
    <row r="176" spans="1:5">
      <c r="A176" s="26" t="s">
        <v>798</v>
      </c>
      <c r="B176" s="207" t="s">
        <v>610</v>
      </c>
      <c r="C176" s="239">
        <v>9</v>
      </c>
      <c r="D176" s="240">
        <v>3809.5</v>
      </c>
      <c r="E176" s="240">
        <f t="shared" si="7"/>
        <v>34285.5</v>
      </c>
    </row>
    <row r="177" spans="1:5">
      <c r="A177" s="26" t="s">
        <v>744</v>
      </c>
      <c r="B177" s="207" t="s">
        <v>610</v>
      </c>
      <c r="C177" s="239">
        <v>1</v>
      </c>
      <c r="D177" s="240">
        <v>5079.333333333333</v>
      </c>
      <c r="E177" s="240">
        <f t="shared" si="7"/>
        <v>5079.333333333333</v>
      </c>
    </row>
    <row r="178" spans="1:5">
      <c r="A178" s="26" t="s">
        <v>799</v>
      </c>
      <c r="B178" s="207" t="s">
        <v>610</v>
      </c>
      <c r="C178" s="239">
        <v>22</v>
      </c>
      <c r="D178" s="240">
        <v>7619</v>
      </c>
      <c r="E178" s="240">
        <f t="shared" si="7"/>
        <v>167618</v>
      </c>
    </row>
    <row r="179" spans="1:5">
      <c r="A179" s="26" t="s">
        <v>801</v>
      </c>
      <c r="B179" s="207" t="s">
        <v>610</v>
      </c>
      <c r="C179" s="239">
        <v>4</v>
      </c>
      <c r="D179" s="240">
        <v>12507.144999999999</v>
      </c>
      <c r="E179" s="240">
        <f t="shared" si="7"/>
        <v>50028.579999999994</v>
      </c>
    </row>
    <row r="180" spans="1:5">
      <c r="A180" s="26" t="s">
        <v>802</v>
      </c>
      <c r="B180" s="207" t="s">
        <v>610</v>
      </c>
      <c r="C180" s="239">
        <v>1</v>
      </c>
      <c r="D180" s="240">
        <v>52038</v>
      </c>
      <c r="E180" s="240">
        <f t="shared" si="7"/>
        <v>52038</v>
      </c>
    </row>
    <row r="181" spans="1:5">
      <c r="A181" s="26" t="s">
        <v>922</v>
      </c>
      <c r="B181" s="207" t="s">
        <v>610</v>
      </c>
      <c r="C181" s="239">
        <v>17</v>
      </c>
      <c r="D181" s="240">
        <v>2560</v>
      </c>
      <c r="E181" s="240">
        <f t="shared" si="7"/>
        <v>43520</v>
      </c>
    </row>
    <row r="182" spans="1:5">
      <c r="A182" s="26" t="s">
        <v>923</v>
      </c>
      <c r="B182" s="207" t="s">
        <v>610</v>
      </c>
      <c r="C182" s="239">
        <v>2</v>
      </c>
      <c r="D182" s="240">
        <v>3468</v>
      </c>
      <c r="E182" s="240">
        <f t="shared" si="7"/>
        <v>6936</v>
      </c>
    </row>
    <row r="183" spans="1:5">
      <c r="A183" s="26" t="s">
        <v>924</v>
      </c>
      <c r="B183" s="207" t="s">
        <v>610</v>
      </c>
      <c r="C183" s="239">
        <v>6</v>
      </c>
      <c r="D183" s="240">
        <v>1856</v>
      </c>
      <c r="E183" s="240">
        <f t="shared" si="7"/>
        <v>11136</v>
      </c>
    </row>
    <row r="184" spans="1:5">
      <c r="A184" s="26" t="s">
        <v>925</v>
      </c>
      <c r="B184" s="207" t="s">
        <v>610</v>
      </c>
      <c r="C184" s="239">
        <v>10</v>
      </c>
      <c r="D184" s="240">
        <v>5267.7250000000004</v>
      </c>
      <c r="E184" s="240">
        <f t="shared" si="7"/>
        <v>52677.25</v>
      </c>
    </row>
    <row r="185" spans="1:5">
      <c r="A185" s="26" t="s">
        <v>926</v>
      </c>
      <c r="B185" s="207" t="s">
        <v>610</v>
      </c>
      <c r="C185" s="239">
        <v>1</v>
      </c>
      <c r="D185" s="240">
        <v>5267.7250000000004</v>
      </c>
      <c r="E185" s="240">
        <f t="shared" si="7"/>
        <v>5267.7250000000004</v>
      </c>
    </row>
    <row r="186" spans="1:5">
      <c r="A186" s="26" t="s">
        <v>803</v>
      </c>
      <c r="B186" s="207" t="s">
        <v>610</v>
      </c>
      <c r="C186" s="239">
        <v>17</v>
      </c>
      <c r="D186" s="240">
        <v>6542</v>
      </c>
      <c r="E186" s="240">
        <f t="shared" si="7"/>
        <v>111214</v>
      </c>
    </row>
    <row r="187" spans="1:5">
      <c r="A187" s="26" t="s">
        <v>716</v>
      </c>
      <c r="B187" s="207" t="s">
        <v>693</v>
      </c>
      <c r="C187" s="239">
        <v>1</v>
      </c>
      <c r="D187" s="240">
        <v>64110.01</v>
      </c>
      <c r="E187" s="240">
        <f t="shared" si="7"/>
        <v>64110.01</v>
      </c>
    </row>
    <row r="188" spans="1:5">
      <c r="A188" s="509" t="s">
        <v>717</v>
      </c>
      <c r="B188" s="510"/>
      <c r="C188" s="510"/>
      <c r="D188" s="510"/>
      <c r="E188" s="511"/>
    </row>
    <row r="189" spans="1:5">
      <c r="A189" s="26" t="s">
        <v>739</v>
      </c>
      <c r="B189" s="207" t="s">
        <v>729</v>
      </c>
      <c r="C189" s="239">
        <v>5113.8999999999996</v>
      </c>
      <c r="D189" s="240">
        <v>157.5</v>
      </c>
      <c r="E189" s="240">
        <f>+D189*C189</f>
        <v>805439.25</v>
      </c>
    </row>
    <row r="190" spans="1:5">
      <c r="A190" s="26" t="s">
        <v>742</v>
      </c>
      <c r="B190" s="207" t="s">
        <v>729</v>
      </c>
      <c r="C190" s="239">
        <v>479</v>
      </c>
      <c r="D190" s="240">
        <v>230.99999999999997</v>
      </c>
      <c r="E190" s="240">
        <f t="shared" ref="E190:E193" si="8">+D190*C190</f>
        <v>110648.99999999999</v>
      </c>
    </row>
    <row r="191" spans="1:5">
      <c r="A191" s="26" t="s">
        <v>927</v>
      </c>
      <c r="B191" s="207" t="s">
        <v>610</v>
      </c>
      <c r="C191" s="239">
        <v>5</v>
      </c>
      <c r="D191" s="240">
        <v>22590.800749999999</v>
      </c>
      <c r="E191" s="240">
        <f t="shared" si="8"/>
        <v>112954.00374999999</v>
      </c>
    </row>
    <row r="192" spans="1:5">
      <c r="A192" s="26" t="s">
        <v>808</v>
      </c>
      <c r="B192" s="207" t="s">
        <v>610</v>
      </c>
      <c r="C192" s="239">
        <v>32</v>
      </c>
      <c r="D192" s="240">
        <v>5777.7416666666659</v>
      </c>
      <c r="E192" s="240">
        <f t="shared" si="8"/>
        <v>184887.73333333331</v>
      </c>
    </row>
    <row r="193" spans="1:5">
      <c r="A193" s="26" t="s">
        <v>751</v>
      </c>
      <c r="B193" s="207" t="s">
        <v>610</v>
      </c>
      <c r="C193" s="239">
        <v>53</v>
      </c>
      <c r="D193" s="240">
        <v>35771.724916666666</v>
      </c>
      <c r="E193" s="240">
        <f t="shared" si="8"/>
        <v>1895901.4205833334</v>
      </c>
    </row>
    <row r="194" spans="1:5">
      <c r="A194" s="26" t="s">
        <v>721</v>
      </c>
      <c r="B194" s="207" t="s">
        <v>693</v>
      </c>
      <c r="C194" s="239">
        <v>1</v>
      </c>
      <c r="D194" s="240">
        <v>3250000</v>
      </c>
      <c r="E194" s="240">
        <f>+D194*C194</f>
        <v>3250000</v>
      </c>
    </row>
    <row r="195" spans="1:5">
      <c r="A195" s="26" t="s">
        <v>692</v>
      </c>
      <c r="B195" s="207" t="s">
        <v>693</v>
      </c>
      <c r="C195" s="239">
        <v>1</v>
      </c>
      <c r="D195" s="240">
        <v>5338403.0316534061</v>
      </c>
      <c r="E195" s="240">
        <f>+D195*C195</f>
        <v>5338403.0316534061</v>
      </c>
    </row>
    <row r="196" spans="1:5">
      <c r="A196" s="515" t="s">
        <v>143</v>
      </c>
      <c r="B196" s="515"/>
      <c r="C196" s="515"/>
      <c r="D196" s="515"/>
      <c r="E196" s="249">
        <f>+SUM(E189:E195,E173:E187,E167:E171)</f>
        <v>29170559.422963247</v>
      </c>
    </row>
    <row r="197" spans="1:5">
      <c r="B197" s="216"/>
    </row>
    <row r="198" spans="1:5">
      <c r="B198" s="216"/>
    </row>
    <row r="199" spans="1:5" ht="18.75">
      <c r="A199" s="391" t="s">
        <v>137</v>
      </c>
      <c r="B199" s="391"/>
      <c r="C199" s="391"/>
      <c r="D199" s="391"/>
      <c r="E199" s="391"/>
    </row>
    <row r="200" spans="1:5" ht="18.75">
      <c r="A200" s="512" t="s">
        <v>617</v>
      </c>
      <c r="B200" s="513"/>
      <c r="C200" s="513"/>
      <c r="D200" s="513"/>
      <c r="E200" s="514"/>
    </row>
    <row r="201" spans="1:5">
      <c r="A201" s="217" t="s">
        <v>138</v>
      </c>
      <c r="B201" s="217" t="s">
        <v>139</v>
      </c>
      <c r="C201" s="217" t="s">
        <v>140</v>
      </c>
      <c r="D201" s="217" t="s">
        <v>141</v>
      </c>
      <c r="E201" s="217" t="s">
        <v>142</v>
      </c>
    </row>
    <row r="202" spans="1:5">
      <c r="A202" s="516" t="s">
        <v>694</v>
      </c>
      <c r="B202" s="517"/>
      <c r="C202" s="517"/>
      <c r="D202" s="517"/>
      <c r="E202" s="518"/>
    </row>
    <row r="203" spans="1:5" ht="30">
      <c r="A203" s="238" t="s">
        <v>928</v>
      </c>
      <c r="B203" s="207" t="s">
        <v>698</v>
      </c>
      <c r="C203" s="239">
        <v>180</v>
      </c>
      <c r="D203" s="240">
        <v>3010</v>
      </c>
      <c r="E203" s="240">
        <f>+D203*C203</f>
        <v>541800</v>
      </c>
    </row>
    <row r="204" spans="1:5" ht="30">
      <c r="A204" s="238" t="s">
        <v>929</v>
      </c>
      <c r="B204" s="207" t="s">
        <v>698</v>
      </c>
      <c r="C204" s="239">
        <v>8</v>
      </c>
      <c r="D204" s="240">
        <v>3010</v>
      </c>
      <c r="E204" s="240">
        <f t="shared" ref="E204:E223" si="9">+D204*C204</f>
        <v>24080</v>
      </c>
    </row>
    <row r="205" spans="1:5" ht="30">
      <c r="A205" s="238" t="s">
        <v>725</v>
      </c>
      <c r="B205" s="207" t="s">
        <v>698</v>
      </c>
      <c r="C205" s="239">
        <v>9.1999999999999993</v>
      </c>
      <c r="D205" s="240">
        <v>2514</v>
      </c>
      <c r="E205" s="240">
        <f t="shared" si="9"/>
        <v>23128.799999999999</v>
      </c>
    </row>
    <row r="206" spans="1:5">
      <c r="A206" s="238" t="s">
        <v>741</v>
      </c>
      <c r="B206" s="207" t="s">
        <v>698</v>
      </c>
      <c r="C206" s="239">
        <v>14.52000000000001</v>
      </c>
      <c r="D206" s="240">
        <v>320</v>
      </c>
      <c r="E206" s="240">
        <f t="shared" si="9"/>
        <v>4646.4000000000033</v>
      </c>
    </row>
    <row r="207" spans="1:5" ht="45">
      <c r="A207" s="238" t="s">
        <v>726</v>
      </c>
      <c r="B207" s="207" t="s">
        <v>698</v>
      </c>
      <c r="C207" s="239">
        <v>170.32</v>
      </c>
      <c r="D207" s="240">
        <v>1150</v>
      </c>
      <c r="E207" s="240">
        <f t="shared" si="9"/>
        <v>195868</v>
      </c>
    </row>
    <row r="208" spans="1:5">
      <c r="A208" s="516" t="s">
        <v>702</v>
      </c>
      <c r="B208" s="517"/>
      <c r="C208" s="517"/>
      <c r="D208" s="517"/>
      <c r="E208" s="518"/>
    </row>
    <row r="209" spans="1:5">
      <c r="A209" s="238" t="s">
        <v>739</v>
      </c>
      <c r="B209" s="207" t="s">
        <v>729</v>
      </c>
      <c r="C209" s="239">
        <v>300</v>
      </c>
      <c r="D209" s="240">
        <v>606.04</v>
      </c>
      <c r="E209" s="240">
        <f t="shared" si="9"/>
        <v>181812</v>
      </c>
    </row>
    <row r="210" spans="1:5">
      <c r="A210" s="238" t="s">
        <v>730</v>
      </c>
      <c r="B210" s="207" t="s">
        <v>731</v>
      </c>
      <c r="C210" s="239">
        <v>3</v>
      </c>
      <c r="D210" s="240">
        <v>5000</v>
      </c>
      <c r="E210" s="240">
        <f t="shared" si="9"/>
        <v>15000</v>
      </c>
    </row>
    <row r="211" spans="1:5">
      <c r="A211" s="238" t="s">
        <v>930</v>
      </c>
      <c r="B211" s="207" t="s">
        <v>610</v>
      </c>
      <c r="C211" s="239">
        <v>1</v>
      </c>
      <c r="D211" s="240">
        <v>5649.8399999999992</v>
      </c>
      <c r="E211" s="240">
        <f t="shared" si="9"/>
        <v>5649.8399999999992</v>
      </c>
    </row>
    <row r="212" spans="1:5">
      <c r="A212" s="238" t="s">
        <v>931</v>
      </c>
      <c r="B212" s="207" t="s">
        <v>610</v>
      </c>
      <c r="C212" s="239">
        <v>1</v>
      </c>
      <c r="D212" s="240">
        <v>14042</v>
      </c>
      <c r="E212" s="240">
        <f t="shared" si="9"/>
        <v>14042</v>
      </c>
    </row>
    <row r="213" spans="1:5">
      <c r="A213" s="238" t="s">
        <v>916</v>
      </c>
      <c r="B213" s="207" t="s">
        <v>610</v>
      </c>
      <c r="C213" s="239">
        <v>1</v>
      </c>
      <c r="D213" s="240">
        <v>4815</v>
      </c>
      <c r="E213" s="240">
        <f t="shared" si="9"/>
        <v>4815</v>
      </c>
    </row>
    <row r="214" spans="1:5">
      <c r="A214" s="238" t="s">
        <v>932</v>
      </c>
      <c r="B214" s="207" t="s">
        <v>610</v>
      </c>
      <c r="C214" s="239">
        <v>2</v>
      </c>
      <c r="D214" s="240">
        <v>5546</v>
      </c>
      <c r="E214" s="240">
        <f t="shared" si="9"/>
        <v>11092</v>
      </c>
    </row>
    <row r="215" spans="1:5">
      <c r="A215" s="238" t="s">
        <v>716</v>
      </c>
      <c r="B215" s="207" t="s">
        <v>693</v>
      </c>
      <c r="C215" s="239">
        <v>1</v>
      </c>
      <c r="D215" s="240">
        <v>51220.01</v>
      </c>
      <c r="E215" s="240">
        <f t="shared" si="9"/>
        <v>51220.01</v>
      </c>
    </row>
    <row r="216" spans="1:5">
      <c r="A216" s="509" t="s">
        <v>717</v>
      </c>
      <c r="B216" s="510"/>
      <c r="C216" s="510"/>
      <c r="D216" s="510"/>
      <c r="E216" s="511"/>
    </row>
    <row r="217" spans="1:5">
      <c r="A217" s="238" t="s">
        <v>739</v>
      </c>
      <c r="B217" s="207" t="s">
        <v>729</v>
      </c>
      <c r="C217" s="239">
        <v>300</v>
      </c>
      <c r="D217" s="240">
        <v>212.11399999999998</v>
      </c>
      <c r="E217" s="240">
        <f t="shared" si="9"/>
        <v>63634.19999999999</v>
      </c>
    </row>
    <row r="218" spans="1:5">
      <c r="A218" s="238" t="s">
        <v>930</v>
      </c>
      <c r="B218" s="207" t="s">
        <v>729</v>
      </c>
      <c r="C218" s="239">
        <v>1</v>
      </c>
      <c r="D218" s="240">
        <v>1977.4439999999995</v>
      </c>
      <c r="E218" s="240">
        <f t="shared" si="9"/>
        <v>1977.4439999999995</v>
      </c>
    </row>
    <row r="219" spans="1:5">
      <c r="A219" s="238" t="s">
        <v>931</v>
      </c>
      <c r="B219" s="207" t="s">
        <v>610</v>
      </c>
      <c r="C219" s="239">
        <v>1</v>
      </c>
      <c r="D219" s="240">
        <v>4914.7</v>
      </c>
      <c r="E219" s="240">
        <f t="shared" si="9"/>
        <v>4914.7</v>
      </c>
    </row>
    <row r="220" spans="1:5">
      <c r="A220" s="238" t="s">
        <v>916</v>
      </c>
      <c r="B220" s="207" t="s">
        <v>610</v>
      </c>
      <c r="C220" s="239">
        <v>1</v>
      </c>
      <c r="D220" s="240">
        <v>1685.25</v>
      </c>
      <c r="E220" s="240">
        <f t="shared" si="9"/>
        <v>1685.25</v>
      </c>
    </row>
    <row r="221" spans="1:5">
      <c r="A221" s="238" t="s">
        <v>932</v>
      </c>
      <c r="B221" s="207" t="s">
        <v>610</v>
      </c>
      <c r="C221" s="239">
        <v>2</v>
      </c>
      <c r="D221" s="240">
        <v>1941.1</v>
      </c>
      <c r="E221" s="240">
        <f t="shared" si="9"/>
        <v>3882.2</v>
      </c>
    </row>
    <row r="222" spans="1:5">
      <c r="A222" s="238" t="s">
        <v>721</v>
      </c>
      <c r="B222" s="207" t="s">
        <v>693</v>
      </c>
      <c r="C222" s="239">
        <v>1</v>
      </c>
      <c r="D222" s="240">
        <v>1437500</v>
      </c>
      <c r="E222" s="240">
        <f t="shared" si="9"/>
        <v>1437500</v>
      </c>
    </row>
    <row r="223" spans="1:5">
      <c r="A223" s="238" t="s">
        <v>692</v>
      </c>
      <c r="B223" s="207" t="s">
        <v>693</v>
      </c>
      <c r="C223" s="239">
        <v>1</v>
      </c>
      <c r="D223" s="240">
        <v>657033.95237599977</v>
      </c>
      <c r="E223" s="240">
        <f t="shared" si="9"/>
        <v>657033.95237599977</v>
      </c>
    </row>
    <row r="224" spans="1:5">
      <c r="A224" s="515" t="s">
        <v>143</v>
      </c>
      <c r="B224" s="515"/>
      <c r="C224" s="515"/>
      <c r="D224" s="515"/>
      <c r="E224" s="249">
        <f>+SUM(E217:E223,E209:E215,E203:E207)</f>
        <v>3243781.7963759992</v>
      </c>
    </row>
    <row r="225" spans="1:5">
      <c r="B225" s="216"/>
    </row>
    <row r="226" spans="1:5">
      <c r="B226" s="216"/>
    </row>
    <row r="227" spans="1:5" ht="18.75">
      <c r="A227" s="391" t="s">
        <v>137</v>
      </c>
      <c r="B227" s="391"/>
      <c r="C227" s="391"/>
      <c r="D227" s="391"/>
      <c r="E227" s="391"/>
    </row>
    <row r="228" spans="1:5" ht="18.75">
      <c r="A228" s="512" t="s">
        <v>618</v>
      </c>
      <c r="B228" s="513"/>
      <c r="C228" s="513"/>
      <c r="D228" s="513"/>
      <c r="E228" s="514"/>
    </row>
    <row r="229" spans="1:5">
      <c r="A229" s="217" t="s">
        <v>138</v>
      </c>
      <c r="B229" s="217" t="s">
        <v>139</v>
      </c>
      <c r="C229" s="217" t="s">
        <v>140</v>
      </c>
      <c r="D229" s="217" t="s">
        <v>141</v>
      </c>
      <c r="E229" s="217" t="s">
        <v>142</v>
      </c>
    </row>
    <row r="230" spans="1:5">
      <c r="A230" s="516" t="s">
        <v>694</v>
      </c>
      <c r="B230" s="517"/>
      <c r="C230" s="517"/>
      <c r="D230" s="517"/>
      <c r="E230" s="518"/>
    </row>
    <row r="231" spans="1:5" ht="30">
      <c r="A231" s="238" t="s">
        <v>722</v>
      </c>
      <c r="B231" s="207" t="s">
        <v>698</v>
      </c>
      <c r="C231" s="239">
        <v>1486.1759999999999</v>
      </c>
      <c r="D231" s="240">
        <v>3010</v>
      </c>
      <c r="E231" s="240">
        <f>+D231*C231</f>
        <v>4473389.76</v>
      </c>
    </row>
    <row r="232" spans="1:5" ht="30">
      <c r="A232" s="238" t="s">
        <v>723</v>
      </c>
      <c r="B232" s="207" t="s">
        <v>698</v>
      </c>
      <c r="C232" s="239">
        <v>32</v>
      </c>
      <c r="D232" s="240">
        <v>3010</v>
      </c>
      <c r="E232" s="240">
        <f t="shared" ref="E232:E258" si="10">+D232*C232</f>
        <v>96320</v>
      </c>
    </row>
    <row r="233" spans="1:5" ht="30">
      <c r="A233" s="238" t="s">
        <v>724</v>
      </c>
      <c r="B233" s="207" t="s">
        <v>698</v>
      </c>
      <c r="C233" s="239">
        <v>33.75</v>
      </c>
      <c r="D233" s="240">
        <v>3010</v>
      </c>
      <c r="E233" s="240">
        <f t="shared" si="10"/>
        <v>101587.5</v>
      </c>
    </row>
    <row r="234" spans="1:5" ht="30">
      <c r="A234" s="238" t="s">
        <v>725</v>
      </c>
      <c r="B234" s="207" t="s">
        <v>698</v>
      </c>
      <c r="C234" s="239">
        <v>76.796300000000002</v>
      </c>
      <c r="D234" s="240">
        <v>2514</v>
      </c>
      <c r="E234" s="240">
        <f t="shared" si="10"/>
        <v>193065.8982</v>
      </c>
    </row>
    <row r="235" spans="1:5" ht="45">
      <c r="A235" s="238" t="s">
        <v>726</v>
      </c>
      <c r="B235" s="207" t="s">
        <v>698</v>
      </c>
      <c r="C235" s="239">
        <v>1430.786846</v>
      </c>
      <c r="D235" s="240">
        <v>1150</v>
      </c>
      <c r="E235" s="240">
        <f t="shared" si="10"/>
        <v>1645404.8729000001</v>
      </c>
    </row>
    <row r="236" spans="1:5">
      <c r="A236" s="238" t="s">
        <v>727</v>
      </c>
      <c r="B236" s="207" t="s">
        <v>698</v>
      </c>
      <c r="C236" s="239">
        <v>121.13915399999996</v>
      </c>
      <c r="D236" s="240">
        <v>320</v>
      </c>
      <c r="E236" s="240">
        <f t="shared" si="10"/>
        <v>38764.529279999988</v>
      </c>
    </row>
    <row r="237" spans="1:5">
      <c r="A237" s="516" t="s">
        <v>702</v>
      </c>
      <c r="B237" s="517"/>
      <c r="C237" s="517"/>
      <c r="D237" s="517"/>
      <c r="E237" s="518"/>
    </row>
    <row r="238" spans="1:5">
      <c r="A238" s="238" t="s">
        <v>728</v>
      </c>
      <c r="B238" s="207" t="s">
        <v>729</v>
      </c>
      <c r="C238" s="239">
        <v>2476.96</v>
      </c>
      <c r="D238" s="240">
        <v>126.90300189160291</v>
      </c>
      <c r="E238" s="240">
        <f t="shared" si="10"/>
        <v>314333.65956542478</v>
      </c>
    </row>
    <row r="239" spans="1:5">
      <c r="A239" s="238" t="s">
        <v>730</v>
      </c>
      <c r="B239" s="207" t="s">
        <v>731</v>
      </c>
      <c r="C239" s="239">
        <v>3</v>
      </c>
      <c r="D239" s="240">
        <v>5000</v>
      </c>
      <c r="E239" s="240">
        <f t="shared" si="10"/>
        <v>15000</v>
      </c>
    </row>
    <row r="240" spans="1:5">
      <c r="A240" s="238" t="s">
        <v>732</v>
      </c>
      <c r="B240" s="207" t="s">
        <v>610</v>
      </c>
      <c r="C240" s="239">
        <v>6</v>
      </c>
      <c r="D240" s="240">
        <v>2150</v>
      </c>
      <c r="E240" s="240">
        <f t="shared" si="10"/>
        <v>12900</v>
      </c>
    </row>
    <row r="241" spans="1:5">
      <c r="A241" s="238" t="s">
        <v>733</v>
      </c>
      <c r="B241" s="207" t="s">
        <v>610</v>
      </c>
      <c r="C241" s="239">
        <v>7</v>
      </c>
      <c r="D241" s="240">
        <v>2072.5520000000001</v>
      </c>
      <c r="E241" s="240">
        <f t="shared" si="10"/>
        <v>14507.864000000001</v>
      </c>
    </row>
    <row r="242" spans="1:5">
      <c r="A242" s="238" t="s">
        <v>734</v>
      </c>
      <c r="B242" s="207" t="s">
        <v>610</v>
      </c>
      <c r="C242" s="239">
        <v>4</v>
      </c>
      <c r="D242" s="240">
        <v>10889.124959999999</v>
      </c>
      <c r="E242" s="240">
        <f t="shared" si="10"/>
        <v>43556.499839999997</v>
      </c>
    </row>
    <row r="243" spans="1:5">
      <c r="A243" s="238" t="s">
        <v>735</v>
      </c>
      <c r="B243" s="207" t="s">
        <v>610</v>
      </c>
      <c r="C243" s="239">
        <v>4</v>
      </c>
      <c r="D243" s="240">
        <v>4894.3999999999996</v>
      </c>
      <c r="E243" s="240">
        <f t="shared" si="10"/>
        <v>19577.599999999999</v>
      </c>
    </row>
    <row r="244" spans="1:5">
      <c r="A244" s="238" t="s">
        <v>736</v>
      </c>
      <c r="B244" s="207" t="s">
        <v>610</v>
      </c>
      <c r="C244" s="239">
        <v>29</v>
      </c>
      <c r="D244" s="240">
        <v>3210</v>
      </c>
      <c r="E244" s="240">
        <f t="shared" si="10"/>
        <v>93090</v>
      </c>
    </row>
    <row r="245" spans="1:5">
      <c r="A245" s="238" t="s">
        <v>737</v>
      </c>
      <c r="B245" s="207" t="s">
        <v>610</v>
      </c>
      <c r="C245" s="239">
        <v>8</v>
      </c>
      <c r="D245" s="240">
        <v>12826.788799999997</v>
      </c>
      <c r="E245" s="240">
        <f t="shared" si="10"/>
        <v>102614.31039999997</v>
      </c>
    </row>
    <row r="246" spans="1:5">
      <c r="A246" s="238" t="s">
        <v>738</v>
      </c>
      <c r="B246" s="207" t="s">
        <v>610</v>
      </c>
      <c r="C246" s="239">
        <v>2</v>
      </c>
      <c r="D246" s="240">
        <v>1669.4</v>
      </c>
      <c r="E246" s="240">
        <f t="shared" si="10"/>
        <v>3338.8</v>
      </c>
    </row>
    <row r="247" spans="1:5">
      <c r="A247" s="238" t="s">
        <v>716</v>
      </c>
      <c r="B247" s="207" t="s">
        <v>693</v>
      </c>
      <c r="C247" s="239">
        <v>1</v>
      </c>
      <c r="D247" s="240">
        <v>50160.01</v>
      </c>
      <c r="E247" s="240">
        <f t="shared" si="10"/>
        <v>50160.01</v>
      </c>
    </row>
    <row r="248" spans="1:5">
      <c r="A248" s="509" t="s">
        <v>717</v>
      </c>
      <c r="B248" s="510"/>
      <c r="C248" s="510"/>
      <c r="D248" s="510"/>
      <c r="E248" s="511"/>
    </row>
    <row r="249" spans="1:5">
      <c r="A249" s="238" t="s">
        <v>739</v>
      </c>
      <c r="B249" s="207" t="s">
        <v>729</v>
      </c>
      <c r="C249" s="239">
        <v>2476.96</v>
      </c>
      <c r="D249" s="240">
        <v>44.416050662061018</v>
      </c>
      <c r="E249" s="240">
        <f t="shared" si="10"/>
        <v>110016.78084789866</v>
      </c>
    </row>
    <row r="250" spans="1:5">
      <c r="A250" s="238" t="s">
        <v>732</v>
      </c>
      <c r="B250" s="207" t="s">
        <v>610</v>
      </c>
      <c r="C250" s="239">
        <v>6</v>
      </c>
      <c r="D250" s="240">
        <v>752.5</v>
      </c>
      <c r="E250" s="240">
        <f t="shared" si="10"/>
        <v>4515</v>
      </c>
    </row>
    <row r="251" spans="1:5">
      <c r="A251" s="238" t="s">
        <v>733</v>
      </c>
      <c r="B251" s="207" t="s">
        <v>610</v>
      </c>
      <c r="C251" s="239">
        <v>7</v>
      </c>
      <c r="D251" s="240">
        <v>725.39319999999998</v>
      </c>
      <c r="E251" s="240">
        <f t="shared" si="10"/>
        <v>5077.7523999999994</v>
      </c>
    </row>
    <row r="252" spans="1:5">
      <c r="A252" s="238" t="s">
        <v>734</v>
      </c>
      <c r="B252" s="207" t="s">
        <v>610</v>
      </c>
      <c r="C252" s="239">
        <v>4</v>
      </c>
      <c r="D252" s="240">
        <v>3811.1937359999993</v>
      </c>
      <c r="E252" s="240">
        <f t="shared" si="10"/>
        <v>15244.774943999997</v>
      </c>
    </row>
    <row r="253" spans="1:5">
      <c r="A253" s="238" t="s">
        <v>735</v>
      </c>
      <c r="B253" s="207" t="s">
        <v>610</v>
      </c>
      <c r="C253" s="239">
        <v>4</v>
      </c>
      <c r="D253" s="240">
        <v>1713.0399999999997</v>
      </c>
      <c r="E253" s="240">
        <f t="shared" si="10"/>
        <v>6852.1599999999989</v>
      </c>
    </row>
    <row r="254" spans="1:5">
      <c r="A254" s="238" t="s">
        <v>736</v>
      </c>
      <c r="B254" s="207" t="s">
        <v>610</v>
      </c>
      <c r="C254" s="239">
        <v>29</v>
      </c>
      <c r="D254" s="240">
        <v>1123.5</v>
      </c>
      <c r="E254" s="240">
        <f t="shared" si="10"/>
        <v>32581.5</v>
      </c>
    </row>
    <row r="255" spans="1:5">
      <c r="A255" s="238" t="s">
        <v>737</v>
      </c>
      <c r="B255" s="207" t="s">
        <v>610</v>
      </c>
      <c r="C255" s="239">
        <v>8</v>
      </c>
      <c r="D255" s="240">
        <v>4489.3760799999982</v>
      </c>
      <c r="E255" s="240">
        <f t="shared" si="10"/>
        <v>35915.008639999985</v>
      </c>
    </row>
    <row r="256" spans="1:5">
      <c r="A256" s="238" t="s">
        <v>738</v>
      </c>
      <c r="B256" s="207" t="s">
        <v>610</v>
      </c>
      <c r="C256" s="239">
        <v>2</v>
      </c>
      <c r="D256" s="240">
        <v>584.29</v>
      </c>
      <c r="E256" s="240">
        <f t="shared" si="10"/>
        <v>1168.58</v>
      </c>
    </row>
    <row r="257" spans="1:5">
      <c r="A257" s="238" t="s">
        <v>721</v>
      </c>
      <c r="B257" s="207" t="s">
        <v>693</v>
      </c>
      <c r="C257" s="239">
        <v>1</v>
      </c>
      <c r="D257" s="240">
        <v>2875000</v>
      </c>
      <c r="E257" s="240">
        <f t="shared" si="10"/>
        <v>2875000</v>
      </c>
    </row>
    <row r="258" spans="1:5">
      <c r="A258" s="238" t="s">
        <v>692</v>
      </c>
      <c r="B258" s="207" t="s">
        <v>693</v>
      </c>
      <c r="C258" s="239">
        <v>1</v>
      </c>
      <c r="D258" s="240">
        <v>2617211.6466984004</v>
      </c>
      <c r="E258" s="240">
        <f t="shared" si="10"/>
        <v>2617211.6466984004</v>
      </c>
    </row>
    <row r="259" spans="1:5">
      <c r="A259" s="515" t="s">
        <v>143</v>
      </c>
      <c r="B259" s="515"/>
      <c r="C259" s="515"/>
      <c r="D259" s="515"/>
      <c r="E259" s="249">
        <f>+SUM(E249:E258,E238:E247,E231:E236)</f>
        <v>12921194.507715721</v>
      </c>
    </row>
    <row r="260" spans="1:5">
      <c r="B260" s="216"/>
    </row>
    <row r="261" spans="1:5">
      <c r="B261" s="216"/>
    </row>
    <row r="262" spans="1:5" ht="18.75">
      <c r="A262" s="391" t="s">
        <v>137</v>
      </c>
      <c r="B262" s="391"/>
      <c r="C262" s="391"/>
      <c r="D262" s="391"/>
      <c r="E262" s="391"/>
    </row>
    <row r="263" spans="1:5" ht="18.75">
      <c r="A263" s="512" t="s">
        <v>619</v>
      </c>
      <c r="B263" s="513"/>
      <c r="C263" s="513"/>
      <c r="D263" s="513"/>
      <c r="E263" s="514"/>
    </row>
    <row r="264" spans="1:5">
      <c r="A264" s="217" t="s">
        <v>138</v>
      </c>
      <c r="B264" s="217" t="s">
        <v>139</v>
      </c>
      <c r="C264" s="217" t="s">
        <v>140</v>
      </c>
      <c r="D264" s="217" t="s">
        <v>141</v>
      </c>
      <c r="E264" s="217" t="s">
        <v>142</v>
      </c>
    </row>
    <row r="265" spans="1:5">
      <c r="A265" s="516" t="s">
        <v>694</v>
      </c>
      <c r="B265" s="517"/>
      <c r="C265" s="517"/>
      <c r="D265" s="517"/>
      <c r="E265" s="518"/>
    </row>
    <row r="266" spans="1:5">
      <c r="A266" s="238" t="s">
        <v>886</v>
      </c>
      <c r="B266" s="207" t="s">
        <v>698</v>
      </c>
      <c r="C266" s="239">
        <v>5090.9070599999995</v>
      </c>
      <c r="D266" s="240">
        <v>3010</v>
      </c>
      <c r="E266" s="240">
        <f>+D266*C266</f>
        <v>15323630.250599999</v>
      </c>
    </row>
    <row r="267" spans="1:5" ht="30">
      <c r="A267" s="238" t="s">
        <v>725</v>
      </c>
      <c r="B267" s="207" t="s">
        <v>698</v>
      </c>
      <c r="C267" s="239">
        <v>624.95000000000005</v>
      </c>
      <c r="D267" s="240">
        <v>2514</v>
      </c>
      <c r="E267" s="240">
        <f t="shared" ref="E267:E270" si="11">+D267*C267</f>
        <v>1571124.3</v>
      </c>
    </row>
    <row r="268" spans="1:5">
      <c r="A268" s="238" t="s">
        <v>727</v>
      </c>
      <c r="B268" s="207" t="s">
        <v>698</v>
      </c>
      <c r="C268" s="239">
        <v>840.78399999999999</v>
      </c>
      <c r="D268" s="240">
        <v>320</v>
      </c>
      <c r="E268" s="240">
        <f t="shared" si="11"/>
        <v>269050.88</v>
      </c>
    </row>
    <row r="269" spans="1:5">
      <c r="A269" s="238" t="s">
        <v>887</v>
      </c>
      <c r="B269" s="207" t="s">
        <v>698</v>
      </c>
      <c r="C269" s="239">
        <v>4254.6210600000004</v>
      </c>
      <c r="D269" s="240">
        <v>1150</v>
      </c>
      <c r="E269" s="240">
        <f t="shared" si="11"/>
        <v>4892814.2190000005</v>
      </c>
    </row>
    <row r="270" spans="1:5">
      <c r="A270" s="238" t="s">
        <v>888</v>
      </c>
      <c r="B270" s="207" t="s">
        <v>755</v>
      </c>
      <c r="C270" s="239">
        <v>788.84399999999982</v>
      </c>
      <c r="D270" s="240">
        <v>790</v>
      </c>
      <c r="E270" s="240">
        <f t="shared" si="11"/>
        <v>623186.75999999989</v>
      </c>
    </row>
    <row r="271" spans="1:5">
      <c r="A271" s="516" t="s">
        <v>702</v>
      </c>
      <c r="B271" s="517"/>
      <c r="C271" s="517"/>
      <c r="D271" s="517"/>
      <c r="E271" s="518"/>
    </row>
    <row r="272" spans="1:5">
      <c r="A272" s="238" t="s">
        <v>889</v>
      </c>
      <c r="B272" s="207" t="s">
        <v>729</v>
      </c>
      <c r="C272" s="239">
        <v>596.5</v>
      </c>
      <c r="D272" s="240">
        <v>1144.83</v>
      </c>
      <c r="E272" s="240">
        <f>+D272*C272</f>
        <v>682891.09499999997</v>
      </c>
    </row>
    <row r="273" spans="1:5">
      <c r="A273" s="238" t="s">
        <v>890</v>
      </c>
      <c r="B273" s="207" t="s">
        <v>729</v>
      </c>
      <c r="C273" s="239">
        <v>536</v>
      </c>
      <c r="D273" s="240">
        <v>404.03</v>
      </c>
      <c r="E273" s="240">
        <f t="shared" ref="E273:E299" si="12">+D273*C273</f>
        <v>216560.08</v>
      </c>
    </row>
    <row r="274" spans="1:5">
      <c r="A274" s="238" t="s">
        <v>891</v>
      </c>
      <c r="B274" s="207" t="s">
        <v>729</v>
      </c>
      <c r="C274" s="239">
        <v>4753.12</v>
      </c>
      <c r="D274" s="240">
        <v>321.24</v>
      </c>
      <c r="E274" s="240">
        <f t="shared" si="12"/>
        <v>1526892.2688</v>
      </c>
    </row>
    <row r="275" spans="1:5">
      <c r="A275" s="238" t="s">
        <v>892</v>
      </c>
      <c r="B275" s="207" t="s">
        <v>729</v>
      </c>
      <c r="C275" s="239">
        <v>962.3</v>
      </c>
      <c r="D275" s="240">
        <v>126.90300189160291</v>
      </c>
      <c r="E275" s="240">
        <f t="shared" si="12"/>
        <v>122118.75872028948</v>
      </c>
    </row>
    <row r="276" spans="1:5">
      <c r="A276" s="238" t="s">
        <v>743</v>
      </c>
      <c r="B276" s="207" t="s">
        <v>731</v>
      </c>
      <c r="C276" s="239">
        <v>18.75</v>
      </c>
      <c r="D276" s="240">
        <v>5000</v>
      </c>
      <c r="E276" s="240">
        <f t="shared" si="12"/>
        <v>93750</v>
      </c>
    </row>
    <row r="277" spans="1:5">
      <c r="A277" s="238" t="s">
        <v>893</v>
      </c>
      <c r="B277" s="207" t="s">
        <v>610</v>
      </c>
      <c r="C277" s="239">
        <v>1</v>
      </c>
      <c r="D277" s="240">
        <v>7483</v>
      </c>
      <c r="E277" s="240">
        <f t="shared" si="12"/>
        <v>7483</v>
      </c>
    </row>
    <row r="278" spans="1:5">
      <c r="A278" s="238" t="s">
        <v>894</v>
      </c>
      <c r="B278" s="207" t="s">
        <v>610</v>
      </c>
      <c r="C278" s="239">
        <v>1</v>
      </c>
      <c r="D278" s="240">
        <v>7483</v>
      </c>
      <c r="E278" s="240">
        <f t="shared" si="12"/>
        <v>7483</v>
      </c>
    </row>
    <row r="279" spans="1:5">
      <c r="A279" s="238" t="s">
        <v>895</v>
      </c>
      <c r="B279" s="207" t="s">
        <v>610</v>
      </c>
      <c r="C279" s="239">
        <v>1</v>
      </c>
      <c r="D279" s="240">
        <v>6075</v>
      </c>
      <c r="E279" s="240">
        <f t="shared" si="12"/>
        <v>6075</v>
      </c>
    </row>
    <row r="280" spans="1:5">
      <c r="A280" s="238" t="s">
        <v>896</v>
      </c>
      <c r="B280" s="207" t="s">
        <v>610</v>
      </c>
      <c r="C280" s="239">
        <v>2</v>
      </c>
      <c r="D280" s="240">
        <v>3072</v>
      </c>
      <c r="E280" s="240">
        <f t="shared" si="12"/>
        <v>6144</v>
      </c>
    </row>
    <row r="281" spans="1:5">
      <c r="A281" s="238" t="s">
        <v>897</v>
      </c>
      <c r="B281" s="207" t="s">
        <v>610</v>
      </c>
      <c r="C281" s="239">
        <v>1</v>
      </c>
      <c r="D281" s="240">
        <v>4805</v>
      </c>
      <c r="E281" s="240">
        <f t="shared" si="12"/>
        <v>4805</v>
      </c>
    </row>
    <row r="282" spans="1:5">
      <c r="A282" s="238" t="s">
        <v>898</v>
      </c>
      <c r="B282" s="207" t="s">
        <v>610</v>
      </c>
      <c r="C282" s="239">
        <v>7</v>
      </c>
      <c r="D282" s="240">
        <v>4805</v>
      </c>
      <c r="E282" s="240">
        <f t="shared" si="12"/>
        <v>33635</v>
      </c>
    </row>
    <row r="283" spans="1:5">
      <c r="A283" s="238" t="s">
        <v>899</v>
      </c>
      <c r="B283" s="207" t="s">
        <v>610</v>
      </c>
      <c r="C283" s="239">
        <f>5+7</f>
        <v>12</v>
      </c>
      <c r="D283" s="240">
        <v>5118.3333300000004</v>
      </c>
      <c r="E283" s="240">
        <f t="shared" si="12"/>
        <v>61419.999960000001</v>
      </c>
    </row>
    <row r="284" spans="1:5">
      <c r="A284" s="238" t="s">
        <v>900</v>
      </c>
      <c r="B284" s="207" t="s">
        <v>610</v>
      </c>
      <c r="C284" s="239">
        <v>10</v>
      </c>
      <c r="D284" s="240">
        <v>2072.5500000000002</v>
      </c>
      <c r="E284" s="240">
        <f t="shared" si="12"/>
        <v>20725.5</v>
      </c>
    </row>
    <row r="285" spans="1:5">
      <c r="A285" s="238" t="s">
        <v>799</v>
      </c>
      <c r="B285" s="207" t="s">
        <v>610</v>
      </c>
      <c r="C285" s="239">
        <f>1+2</f>
        <v>3</v>
      </c>
      <c r="D285" s="240">
        <v>5305</v>
      </c>
      <c r="E285" s="240">
        <f t="shared" si="12"/>
        <v>15915</v>
      </c>
    </row>
    <row r="286" spans="1:5">
      <c r="A286" s="238" t="s">
        <v>744</v>
      </c>
      <c r="B286" s="207" t="s">
        <v>610</v>
      </c>
      <c r="C286" s="239">
        <v>29</v>
      </c>
      <c r="D286" s="240">
        <v>5546</v>
      </c>
      <c r="E286" s="240">
        <f t="shared" si="12"/>
        <v>160834</v>
      </c>
    </row>
    <row r="287" spans="1:5">
      <c r="A287" s="238" t="s">
        <v>798</v>
      </c>
      <c r="B287" s="207" t="s">
        <v>610</v>
      </c>
      <c r="C287" s="239">
        <v>66</v>
      </c>
      <c r="D287" s="240">
        <v>4615</v>
      </c>
      <c r="E287" s="240">
        <f t="shared" si="12"/>
        <v>304590</v>
      </c>
    </row>
    <row r="288" spans="1:5">
      <c r="A288" s="238" t="s">
        <v>745</v>
      </c>
      <c r="B288" s="207" t="s">
        <v>610</v>
      </c>
      <c r="C288" s="239">
        <f>30+1</f>
        <v>31</v>
      </c>
      <c r="D288" s="240">
        <v>2850</v>
      </c>
      <c r="E288" s="240">
        <f t="shared" si="12"/>
        <v>88350</v>
      </c>
    </row>
    <row r="289" spans="1:5">
      <c r="A289" s="238" t="s">
        <v>749</v>
      </c>
      <c r="B289" s="207" t="s">
        <v>610</v>
      </c>
      <c r="C289" s="239">
        <v>1</v>
      </c>
      <c r="D289" s="240">
        <v>5215</v>
      </c>
      <c r="E289" s="240">
        <f t="shared" si="12"/>
        <v>5215</v>
      </c>
    </row>
    <row r="290" spans="1:5">
      <c r="A290" s="238" t="s">
        <v>901</v>
      </c>
      <c r="B290" s="207" t="s">
        <v>610</v>
      </c>
      <c r="C290" s="239">
        <v>13</v>
      </c>
      <c r="D290" s="240">
        <v>4316</v>
      </c>
      <c r="E290" s="240">
        <f t="shared" si="12"/>
        <v>56108</v>
      </c>
    </row>
    <row r="291" spans="1:5">
      <c r="A291" s="238" t="s">
        <v>732</v>
      </c>
      <c r="B291" s="207" t="s">
        <v>610</v>
      </c>
      <c r="C291" s="239">
        <v>1</v>
      </c>
      <c r="D291" s="240">
        <v>2150</v>
      </c>
      <c r="E291" s="240">
        <f t="shared" si="12"/>
        <v>2150</v>
      </c>
    </row>
    <row r="292" spans="1:5">
      <c r="A292" s="238" t="s">
        <v>902</v>
      </c>
      <c r="B292" s="207" t="s">
        <v>610</v>
      </c>
      <c r="C292" s="239">
        <v>5</v>
      </c>
      <c r="D292" s="240">
        <v>35734.699999999997</v>
      </c>
      <c r="E292" s="240">
        <f t="shared" si="12"/>
        <v>178673.5</v>
      </c>
    </row>
    <row r="293" spans="1:5">
      <c r="A293" s="238" t="s">
        <v>903</v>
      </c>
      <c r="B293" s="207" t="s">
        <v>610</v>
      </c>
      <c r="C293" s="239">
        <v>1</v>
      </c>
      <c r="D293" s="240">
        <v>20543.8</v>
      </c>
      <c r="E293" s="240">
        <f t="shared" si="12"/>
        <v>20543.8</v>
      </c>
    </row>
    <row r="294" spans="1:5">
      <c r="A294" s="238" t="s">
        <v>904</v>
      </c>
      <c r="B294" s="207" t="s">
        <v>610</v>
      </c>
      <c r="C294" s="239">
        <v>1</v>
      </c>
      <c r="D294" s="240">
        <v>75</v>
      </c>
      <c r="E294" s="240">
        <f t="shared" si="12"/>
        <v>75</v>
      </c>
    </row>
    <row r="295" spans="1:5">
      <c r="A295" s="238" t="s">
        <v>905</v>
      </c>
      <c r="B295" s="207" t="s">
        <v>610</v>
      </c>
      <c r="C295" s="239">
        <v>1</v>
      </c>
      <c r="D295" s="240">
        <v>35</v>
      </c>
      <c r="E295" s="240">
        <f t="shared" si="12"/>
        <v>35</v>
      </c>
    </row>
    <row r="296" spans="1:5">
      <c r="A296" s="238" t="s">
        <v>906</v>
      </c>
      <c r="B296" s="207" t="s">
        <v>610</v>
      </c>
      <c r="C296" s="239">
        <v>3</v>
      </c>
      <c r="D296" s="240">
        <v>2854</v>
      </c>
      <c r="E296" s="240">
        <f t="shared" si="12"/>
        <v>8562</v>
      </c>
    </row>
    <row r="297" spans="1:5">
      <c r="A297" s="238" t="s">
        <v>907</v>
      </c>
      <c r="B297" s="207" t="s">
        <v>610</v>
      </c>
      <c r="C297" s="239">
        <f>2+2</f>
        <v>4</v>
      </c>
      <c r="D297" s="240">
        <v>82</v>
      </c>
      <c r="E297" s="240">
        <f t="shared" si="12"/>
        <v>328</v>
      </c>
    </row>
    <row r="298" spans="1:5">
      <c r="A298" s="238" t="s">
        <v>908</v>
      </c>
      <c r="B298" s="207" t="s">
        <v>610</v>
      </c>
      <c r="C298" s="239">
        <f>1+2</f>
        <v>3</v>
      </c>
      <c r="D298" s="240">
        <v>70</v>
      </c>
      <c r="E298" s="240">
        <f t="shared" si="12"/>
        <v>210</v>
      </c>
    </row>
    <row r="299" spans="1:5">
      <c r="A299" s="238" t="s">
        <v>909</v>
      </c>
      <c r="B299" s="207" t="s">
        <v>610</v>
      </c>
      <c r="C299" s="239">
        <v>8</v>
      </c>
      <c r="D299" s="240">
        <v>8773.33</v>
      </c>
      <c r="E299" s="240">
        <f t="shared" si="12"/>
        <v>70186.64</v>
      </c>
    </row>
    <row r="300" spans="1:5">
      <c r="A300" s="238" t="s">
        <v>910</v>
      </c>
      <c r="B300" s="207" t="s">
        <v>610</v>
      </c>
      <c r="C300" s="239">
        <v>1</v>
      </c>
      <c r="D300" s="240">
        <v>1536</v>
      </c>
      <c r="E300" s="240">
        <f>+D300*C300</f>
        <v>1536</v>
      </c>
    </row>
    <row r="301" spans="1:5">
      <c r="A301" s="238" t="s">
        <v>911</v>
      </c>
      <c r="B301" s="207" t="s">
        <v>610</v>
      </c>
      <c r="C301" s="239">
        <v>1</v>
      </c>
      <c r="D301" s="240">
        <v>200</v>
      </c>
      <c r="E301" s="240">
        <f>+D301*C301</f>
        <v>200</v>
      </c>
    </row>
    <row r="302" spans="1:5">
      <c r="A302" s="238" t="s">
        <v>716</v>
      </c>
      <c r="B302" s="207" t="s">
        <v>693</v>
      </c>
      <c r="C302" s="239">
        <v>1</v>
      </c>
      <c r="D302" s="240">
        <v>187480.024</v>
      </c>
      <c r="E302" s="240">
        <f>+D302*C302</f>
        <v>187480.024</v>
      </c>
    </row>
    <row r="303" spans="1:5">
      <c r="A303" s="509" t="s">
        <v>717</v>
      </c>
      <c r="B303" s="510"/>
      <c r="C303" s="510"/>
      <c r="D303" s="510"/>
      <c r="E303" s="511"/>
    </row>
    <row r="304" spans="1:5">
      <c r="A304" s="238" t="str">
        <f>+A272</f>
        <v>Tubos de 6" x 19´</v>
      </c>
      <c r="B304" s="207" t="str">
        <f>+B272</f>
        <v>ML</v>
      </c>
      <c r="C304" s="239">
        <f>+C272</f>
        <v>596.5</v>
      </c>
      <c r="D304" s="240">
        <v>400.69049999999993</v>
      </c>
      <c r="E304" s="240">
        <f>+D304*C304</f>
        <v>239011.88324999996</v>
      </c>
    </row>
    <row r="305" spans="1:5">
      <c r="A305" s="238" t="str">
        <f t="shared" ref="A305:C307" si="13">+A273</f>
        <v>Tubos de 4" x 19´</v>
      </c>
      <c r="B305" s="207" t="str">
        <f t="shared" si="13"/>
        <v>ML</v>
      </c>
      <c r="C305" s="239">
        <f t="shared" si="13"/>
        <v>536</v>
      </c>
      <c r="D305" s="240">
        <v>141.41049999999998</v>
      </c>
      <c r="E305" s="240">
        <f t="shared" ref="E305:E307" si="14">+D305*C305</f>
        <v>75796.027999999991</v>
      </c>
    </row>
    <row r="306" spans="1:5">
      <c r="A306" s="238" t="str">
        <f t="shared" si="13"/>
        <v>Tubos de 3" x 19´</v>
      </c>
      <c r="B306" s="207" t="str">
        <f t="shared" si="13"/>
        <v>ML</v>
      </c>
      <c r="C306" s="239">
        <f t="shared" si="13"/>
        <v>4753.12</v>
      </c>
      <c r="D306" s="240">
        <v>112.434</v>
      </c>
      <c r="E306" s="240">
        <f t="shared" si="14"/>
        <v>534412.29408000002</v>
      </c>
    </row>
    <row r="307" spans="1:5">
      <c r="A307" s="238" t="str">
        <f t="shared" si="13"/>
        <v>Tubos de 2" x 19</v>
      </c>
      <c r="B307" s="207" t="str">
        <f t="shared" si="13"/>
        <v>ML</v>
      </c>
      <c r="C307" s="239">
        <f t="shared" si="13"/>
        <v>962.3</v>
      </c>
      <c r="D307" s="240">
        <v>44.416050662061018</v>
      </c>
      <c r="E307" s="240">
        <f t="shared" si="14"/>
        <v>42741.565552101318</v>
      </c>
    </row>
    <row r="308" spans="1:5">
      <c r="A308" s="238" t="s">
        <v>912</v>
      </c>
      <c r="B308" s="207" t="s">
        <v>752</v>
      </c>
      <c r="C308" s="244">
        <v>0.35</v>
      </c>
      <c r="D308" s="240">
        <f>+SUM(E277:E301)</f>
        <v>1061282.4399599999</v>
      </c>
      <c r="E308" s="240">
        <f>+D308*C308</f>
        <v>371448.85398599994</v>
      </c>
    </row>
    <row r="309" spans="1:5" ht="30">
      <c r="A309" s="238" t="s">
        <v>913</v>
      </c>
      <c r="B309" s="207" t="s">
        <v>729</v>
      </c>
      <c r="C309" s="246">
        <v>3414</v>
      </c>
      <c r="D309" s="240">
        <v>50</v>
      </c>
      <c r="E309" s="240">
        <f t="shared" ref="E309:E310" si="15">+D309*C309</f>
        <v>170700</v>
      </c>
    </row>
    <row r="310" spans="1:5" ht="30">
      <c r="A310" s="238" t="s">
        <v>914</v>
      </c>
      <c r="B310" s="207" t="s">
        <v>729</v>
      </c>
      <c r="C310" s="246">
        <v>397</v>
      </c>
      <c r="D310" s="240">
        <v>50</v>
      </c>
      <c r="E310" s="240">
        <f t="shared" si="15"/>
        <v>19850</v>
      </c>
    </row>
    <row r="311" spans="1:5">
      <c r="A311" s="238" t="s">
        <v>721</v>
      </c>
      <c r="B311" s="207" t="s">
        <v>693</v>
      </c>
      <c r="C311" s="239">
        <v>1</v>
      </c>
      <c r="D311" s="240">
        <v>2580503.1</v>
      </c>
      <c r="E311" s="240">
        <f>+D311*C311</f>
        <v>2580503.1</v>
      </c>
    </row>
    <row r="312" spans="1:5">
      <c r="A312" s="238" t="s">
        <v>692</v>
      </c>
      <c r="B312" s="207" t="s">
        <v>693</v>
      </c>
      <c r="C312" s="239">
        <v>1</v>
      </c>
      <c r="D312" s="240">
        <v>7772366.6084341668</v>
      </c>
      <c r="E312" s="240">
        <f>+D312*C312</f>
        <v>7772366.6084341668</v>
      </c>
    </row>
    <row r="313" spans="1:5">
      <c r="A313" s="515" t="s">
        <v>143</v>
      </c>
      <c r="B313" s="515"/>
      <c r="C313" s="515"/>
      <c r="D313" s="515"/>
      <c r="E313" s="249">
        <f>+SUM(E304:E312,E272:E302,E266:E270)</f>
        <v>38377611.409382559</v>
      </c>
    </row>
    <row r="314" spans="1:5">
      <c r="B314" s="216"/>
    </row>
    <row r="315" spans="1:5">
      <c r="B315" s="216"/>
    </row>
    <row r="316" spans="1:5" ht="18.75">
      <c r="A316" s="391" t="s">
        <v>137</v>
      </c>
      <c r="B316" s="391"/>
      <c r="C316" s="391"/>
      <c r="D316" s="391"/>
      <c r="E316" s="391"/>
    </row>
    <row r="317" spans="1:5" ht="18.75">
      <c r="A317" s="512" t="s">
        <v>620</v>
      </c>
      <c r="B317" s="513"/>
      <c r="C317" s="513"/>
      <c r="D317" s="513"/>
      <c r="E317" s="514"/>
    </row>
    <row r="318" spans="1:5">
      <c r="A318" s="217" t="s">
        <v>138</v>
      </c>
      <c r="B318" s="217" t="s">
        <v>139</v>
      </c>
      <c r="C318" s="217" t="s">
        <v>140</v>
      </c>
      <c r="D318" s="217" t="s">
        <v>141</v>
      </c>
      <c r="E318" s="217" t="s">
        <v>142</v>
      </c>
    </row>
    <row r="319" spans="1:5">
      <c r="A319" s="516" t="s">
        <v>694</v>
      </c>
      <c r="B319" s="517"/>
      <c r="C319" s="517"/>
      <c r="D319" s="517"/>
      <c r="E319" s="518"/>
    </row>
    <row r="320" spans="1:5" ht="30">
      <c r="A320" s="238" t="s">
        <v>740</v>
      </c>
      <c r="B320" s="207" t="s">
        <v>698</v>
      </c>
      <c r="C320" s="239">
        <v>2652.2400000000002</v>
      </c>
      <c r="D320" s="240">
        <v>3010</v>
      </c>
      <c r="E320" s="240">
        <f>+D320*C320</f>
        <v>7983242.4000000004</v>
      </c>
    </row>
    <row r="321" spans="1:5" ht="30">
      <c r="A321" s="238" t="s">
        <v>725</v>
      </c>
      <c r="B321" s="207" t="s">
        <v>698</v>
      </c>
      <c r="C321" s="239">
        <v>195.22000000000003</v>
      </c>
      <c r="D321" s="240">
        <v>2514</v>
      </c>
      <c r="E321" s="240">
        <f t="shared" ref="E321:E342" si="16">+D321*C321</f>
        <v>490783.08000000007</v>
      </c>
    </row>
    <row r="322" spans="1:5">
      <c r="A322" s="238" t="s">
        <v>741</v>
      </c>
      <c r="B322" s="207" t="s">
        <v>698</v>
      </c>
      <c r="C322" s="239">
        <v>2075.1920399999999</v>
      </c>
      <c r="D322" s="240">
        <v>320</v>
      </c>
      <c r="E322" s="240">
        <f t="shared" si="16"/>
        <v>664061.45279999997</v>
      </c>
    </row>
    <row r="323" spans="1:5" ht="45">
      <c r="A323" s="238" t="s">
        <v>726</v>
      </c>
      <c r="B323" s="207" t="s">
        <v>698</v>
      </c>
      <c r="C323" s="239">
        <v>2441.4023999999999</v>
      </c>
      <c r="D323" s="240">
        <v>1150</v>
      </c>
      <c r="E323" s="240">
        <f t="shared" si="16"/>
        <v>2807612.76</v>
      </c>
    </row>
    <row r="324" spans="1:5">
      <c r="A324" s="516" t="s">
        <v>702</v>
      </c>
      <c r="B324" s="517"/>
      <c r="C324" s="517"/>
      <c r="D324" s="517"/>
      <c r="E324" s="518"/>
    </row>
    <row r="325" spans="1:5">
      <c r="A325" s="238" t="s">
        <v>739</v>
      </c>
      <c r="B325" s="207" t="s">
        <v>729</v>
      </c>
      <c r="C325" s="239">
        <f>780+807</f>
        <v>1587</v>
      </c>
      <c r="D325" s="240">
        <v>321.24</v>
      </c>
      <c r="E325" s="240">
        <f t="shared" si="16"/>
        <v>509807.88</v>
      </c>
    </row>
    <row r="326" spans="1:5">
      <c r="A326" s="238" t="s">
        <v>728</v>
      </c>
      <c r="B326" s="207" t="s">
        <v>729</v>
      </c>
      <c r="C326" s="239">
        <f>940+7234</f>
        <v>8174</v>
      </c>
      <c r="D326" s="240">
        <v>126.9</v>
      </c>
      <c r="E326" s="240">
        <f t="shared" si="16"/>
        <v>1037280.6000000001</v>
      </c>
    </row>
    <row r="327" spans="1:5">
      <c r="A327" s="238" t="s">
        <v>915</v>
      </c>
      <c r="B327" s="207" t="s">
        <v>731</v>
      </c>
      <c r="C327" s="239">
        <v>11.75</v>
      </c>
      <c r="D327" s="240">
        <v>5000</v>
      </c>
      <c r="E327" s="240">
        <f t="shared" si="16"/>
        <v>58750</v>
      </c>
    </row>
    <row r="328" spans="1:5">
      <c r="A328" s="238" t="s">
        <v>916</v>
      </c>
      <c r="B328" s="207" t="s">
        <v>610</v>
      </c>
      <c r="C328" s="239">
        <v>34</v>
      </c>
      <c r="D328" s="240">
        <v>4615</v>
      </c>
      <c r="E328" s="240">
        <f t="shared" si="16"/>
        <v>156910</v>
      </c>
    </row>
    <row r="329" spans="1:5">
      <c r="A329" s="238" t="s">
        <v>901</v>
      </c>
      <c r="B329" s="207" t="s">
        <v>610</v>
      </c>
      <c r="C329" s="239">
        <v>2</v>
      </c>
      <c r="D329" s="240">
        <v>3915</v>
      </c>
      <c r="E329" s="240">
        <f t="shared" si="16"/>
        <v>7830</v>
      </c>
    </row>
    <row r="330" spans="1:5" ht="18.75" customHeight="1">
      <c r="A330" s="238" t="s">
        <v>736</v>
      </c>
      <c r="B330" s="207" t="s">
        <v>610</v>
      </c>
      <c r="C330" s="239">
        <v>18</v>
      </c>
      <c r="D330" s="240">
        <v>3210</v>
      </c>
      <c r="E330" s="240">
        <f t="shared" si="16"/>
        <v>57780</v>
      </c>
    </row>
    <row r="331" spans="1:5">
      <c r="A331" s="238" t="s">
        <v>917</v>
      </c>
      <c r="B331" s="207" t="s">
        <v>610</v>
      </c>
      <c r="C331" s="239">
        <v>16</v>
      </c>
      <c r="D331" s="240">
        <v>5250</v>
      </c>
      <c r="E331" s="240">
        <f t="shared" si="16"/>
        <v>84000</v>
      </c>
    </row>
    <row r="332" spans="1:5">
      <c r="A332" s="238" t="s">
        <v>904</v>
      </c>
      <c r="B332" s="207" t="s">
        <v>610</v>
      </c>
      <c r="C332" s="239">
        <v>1</v>
      </c>
      <c r="D332" s="240">
        <v>108</v>
      </c>
      <c r="E332" s="240">
        <f t="shared" si="16"/>
        <v>108</v>
      </c>
    </row>
    <row r="333" spans="1:5">
      <c r="A333" s="238" t="s">
        <v>905</v>
      </c>
      <c r="B333" s="207" t="s">
        <v>610</v>
      </c>
      <c r="C333" s="239">
        <v>16</v>
      </c>
      <c r="D333" s="240">
        <v>75</v>
      </c>
      <c r="E333" s="240">
        <f t="shared" si="16"/>
        <v>1200</v>
      </c>
    </row>
    <row r="334" spans="1:5">
      <c r="A334" s="238" t="s">
        <v>716</v>
      </c>
      <c r="B334" s="207" t="s">
        <v>693</v>
      </c>
      <c r="C334" s="239">
        <v>1</v>
      </c>
      <c r="D334" s="240">
        <v>207480.03600000002</v>
      </c>
      <c r="E334" s="240">
        <f t="shared" si="16"/>
        <v>207480.03600000002</v>
      </c>
    </row>
    <row r="335" spans="1:5">
      <c r="A335" s="509" t="s">
        <v>717</v>
      </c>
      <c r="B335" s="510"/>
      <c r="C335" s="510"/>
      <c r="D335" s="510"/>
      <c r="E335" s="511"/>
    </row>
    <row r="336" spans="1:5">
      <c r="A336" s="238" t="str">
        <f t="shared" ref="A336:C337" si="17">+A325</f>
        <v>Tubos de 3" x 19´ PVC SDR-26</v>
      </c>
      <c r="B336" s="207" t="str">
        <f t="shared" si="17"/>
        <v>ML</v>
      </c>
      <c r="C336" s="239">
        <f t="shared" si="17"/>
        <v>1587</v>
      </c>
      <c r="D336" s="240">
        <v>112.434</v>
      </c>
      <c r="E336" s="240">
        <f t="shared" si="16"/>
        <v>178432.758</v>
      </c>
    </row>
    <row r="337" spans="1:5">
      <c r="A337" s="238" t="str">
        <f t="shared" si="17"/>
        <v>Tubos de 2" x 19´ PVC SDR-26</v>
      </c>
      <c r="B337" s="207" t="str">
        <f t="shared" si="17"/>
        <v>ML</v>
      </c>
      <c r="C337" s="239">
        <f t="shared" si="17"/>
        <v>8174</v>
      </c>
      <c r="D337" s="240">
        <v>44.414999999999999</v>
      </c>
      <c r="E337" s="240">
        <f t="shared" si="16"/>
        <v>363048.21</v>
      </c>
    </row>
    <row r="338" spans="1:5">
      <c r="A338" s="238" t="s">
        <v>912</v>
      </c>
      <c r="B338" s="207" t="s">
        <v>752</v>
      </c>
      <c r="C338" s="244">
        <v>0.35</v>
      </c>
      <c r="D338" s="240">
        <f>+SUM(E328:E333)</f>
        <v>307828</v>
      </c>
      <c r="E338" s="240">
        <f t="shared" si="16"/>
        <v>107739.79999999999</v>
      </c>
    </row>
    <row r="339" spans="1:5" ht="30">
      <c r="A339" s="238" t="s">
        <v>913</v>
      </c>
      <c r="B339" s="207" t="str">
        <f>+B325</f>
        <v>ML</v>
      </c>
      <c r="C339" s="239">
        <f>+C325</f>
        <v>1587</v>
      </c>
      <c r="D339" s="240">
        <v>50</v>
      </c>
      <c r="E339" s="240">
        <f t="shared" si="16"/>
        <v>79350</v>
      </c>
    </row>
    <row r="340" spans="1:5" ht="30">
      <c r="A340" s="238" t="s">
        <v>918</v>
      </c>
      <c r="B340" s="207" t="str">
        <f>+B326</f>
        <v>ML</v>
      </c>
      <c r="C340" s="239">
        <f>+C326</f>
        <v>8174</v>
      </c>
      <c r="D340" s="240">
        <v>50</v>
      </c>
      <c r="E340" s="240">
        <f t="shared" si="16"/>
        <v>408700</v>
      </c>
    </row>
    <row r="341" spans="1:5">
      <c r="A341" s="238" t="s">
        <v>721</v>
      </c>
      <c r="B341" s="207" t="s">
        <v>693</v>
      </c>
      <c r="C341" s="239">
        <v>1</v>
      </c>
      <c r="D341" s="240">
        <v>3575000</v>
      </c>
      <c r="E341" s="240">
        <f t="shared" si="16"/>
        <v>3575000</v>
      </c>
    </row>
    <row r="342" spans="1:5">
      <c r="A342" s="238" t="s">
        <v>692</v>
      </c>
      <c r="B342" s="207" t="s">
        <v>693</v>
      </c>
      <c r="C342" s="239">
        <v>1</v>
      </c>
      <c r="D342" s="240">
        <v>4769895.7121072011</v>
      </c>
      <c r="E342" s="240">
        <f t="shared" si="16"/>
        <v>4769895.7121072011</v>
      </c>
    </row>
    <row r="343" spans="1:5">
      <c r="A343" s="515" t="s">
        <v>143</v>
      </c>
      <c r="B343" s="515"/>
      <c r="C343" s="515"/>
      <c r="D343" s="515"/>
      <c r="E343" s="249">
        <f>+SUM(E336:E342,E325:E334,E320:E323)</f>
        <v>23549012.688907199</v>
      </c>
    </row>
    <row r="344" spans="1:5">
      <c r="B344" s="216"/>
    </row>
    <row r="345" spans="1:5">
      <c r="B345" s="216"/>
    </row>
    <row r="346" spans="1:5" ht="18.75">
      <c r="A346" s="391" t="s">
        <v>137</v>
      </c>
      <c r="B346" s="391"/>
      <c r="C346" s="391"/>
      <c r="D346" s="391"/>
      <c r="E346" s="391"/>
    </row>
    <row r="347" spans="1:5" ht="18.75">
      <c r="A347" s="512" t="s">
        <v>621</v>
      </c>
      <c r="B347" s="513"/>
      <c r="C347" s="513"/>
      <c r="D347" s="513"/>
      <c r="E347" s="514"/>
    </row>
    <row r="348" spans="1:5">
      <c r="A348" s="217" t="s">
        <v>138</v>
      </c>
      <c r="B348" s="217" t="s">
        <v>139</v>
      </c>
      <c r="C348" s="217" t="s">
        <v>140</v>
      </c>
      <c r="D348" s="217" t="s">
        <v>141</v>
      </c>
      <c r="E348" s="217" t="s">
        <v>142</v>
      </c>
    </row>
    <row r="349" spans="1:5">
      <c r="A349" s="516" t="s">
        <v>694</v>
      </c>
      <c r="B349" s="517"/>
      <c r="C349" s="517"/>
      <c r="D349" s="517"/>
      <c r="E349" s="518"/>
    </row>
    <row r="350" spans="1:5" ht="30">
      <c r="A350" s="238" t="s">
        <v>740</v>
      </c>
      <c r="B350" s="207" t="s">
        <v>698</v>
      </c>
      <c r="C350" s="239">
        <v>2169.5625</v>
      </c>
      <c r="D350" s="240">
        <v>3010</v>
      </c>
      <c r="E350" s="240">
        <f>+D350*C350</f>
        <v>6530383.125</v>
      </c>
    </row>
    <row r="351" spans="1:5" ht="30">
      <c r="A351" s="238" t="s">
        <v>725</v>
      </c>
      <c r="B351" s="207" t="s">
        <v>698</v>
      </c>
      <c r="C351" s="239">
        <v>79.320000000000007</v>
      </c>
      <c r="D351" s="240">
        <v>2514</v>
      </c>
      <c r="E351" s="240">
        <f t="shared" ref="E351:E353" si="18">+D351*C351</f>
        <v>199410.48</v>
      </c>
    </row>
    <row r="352" spans="1:5">
      <c r="A352" s="238" t="s">
        <v>741</v>
      </c>
      <c r="B352" s="207" t="s">
        <v>698</v>
      </c>
      <c r="C352" s="239">
        <v>2349.91</v>
      </c>
      <c r="D352" s="240">
        <v>320</v>
      </c>
      <c r="E352" s="240">
        <f t="shared" si="18"/>
        <v>751971.2</v>
      </c>
    </row>
    <row r="353" spans="1:5" ht="45">
      <c r="A353" s="238" t="s">
        <v>726</v>
      </c>
      <c r="B353" s="207" t="s">
        <v>698</v>
      </c>
      <c r="C353" s="239">
        <v>2079.5654249999998</v>
      </c>
      <c r="D353" s="240">
        <v>1150</v>
      </c>
      <c r="E353" s="240">
        <f t="shared" si="18"/>
        <v>2391500.2387499996</v>
      </c>
    </row>
    <row r="354" spans="1:5" ht="17.25" customHeight="1">
      <c r="A354" s="516" t="s">
        <v>702</v>
      </c>
      <c r="B354" s="517"/>
      <c r="C354" s="517"/>
      <c r="D354" s="517"/>
      <c r="E354" s="518"/>
    </row>
    <row r="355" spans="1:5">
      <c r="A355" s="238" t="s">
        <v>742</v>
      </c>
      <c r="B355" s="207" t="s">
        <v>729</v>
      </c>
      <c r="C355" s="239">
        <v>783</v>
      </c>
      <c r="D355" s="240">
        <v>404.03</v>
      </c>
      <c r="E355" s="240">
        <f t="shared" ref="E355:E366" si="19">+D355*C355</f>
        <v>316355.49</v>
      </c>
    </row>
    <row r="356" spans="1:5">
      <c r="A356" s="238" t="s">
        <v>728</v>
      </c>
      <c r="B356" s="207" t="s">
        <v>729</v>
      </c>
      <c r="C356" s="239">
        <v>2131.5</v>
      </c>
      <c r="D356" s="240">
        <v>126.90300189160291</v>
      </c>
      <c r="E356" s="240">
        <f t="shared" si="19"/>
        <v>270493.74853195163</v>
      </c>
    </row>
    <row r="357" spans="1:5">
      <c r="A357" s="238" t="s">
        <v>743</v>
      </c>
      <c r="B357" s="207" t="s">
        <v>731</v>
      </c>
      <c r="C357" s="239">
        <v>4.5</v>
      </c>
      <c r="D357" s="240">
        <v>5000</v>
      </c>
      <c r="E357" s="240">
        <f t="shared" si="19"/>
        <v>22500</v>
      </c>
    </row>
    <row r="358" spans="1:5">
      <c r="A358" s="238" t="s">
        <v>744</v>
      </c>
      <c r="B358" s="207" t="s">
        <v>610</v>
      </c>
      <c r="C358" s="239">
        <v>15</v>
      </c>
      <c r="D358" s="240">
        <v>5305</v>
      </c>
      <c r="E358" s="240">
        <f t="shared" si="19"/>
        <v>79575</v>
      </c>
    </row>
    <row r="359" spans="1:5">
      <c r="A359" s="238" t="s">
        <v>745</v>
      </c>
      <c r="B359" s="207" t="s">
        <v>610</v>
      </c>
      <c r="C359" s="239">
        <v>7</v>
      </c>
      <c r="D359" s="240">
        <v>4615</v>
      </c>
      <c r="E359" s="240">
        <f t="shared" si="19"/>
        <v>32305</v>
      </c>
    </row>
    <row r="360" spans="1:5">
      <c r="A360" s="238" t="s">
        <v>746</v>
      </c>
      <c r="B360" s="207" t="s">
        <v>610</v>
      </c>
      <c r="C360" s="239">
        <v>2</v>
      </c>
      <c r="D360" s="240">
        <v>6259.9</v>
      </c>
      <c r="E360" s="240">
        <f t="shared" si="19"/>
        <v>12519.8</v>
      </c>
    </row>
    <row r="361" spans="1:5">
      <c r="A361" s="238" t="s">
        <v>747</v>
      </c>
      <c r="B361" s="207" t="s">
        <v>610</v>
      </c>
      <c r="C361" s="239">
        <v>2</v>
      </c>
      <c r="D361" s="240">
        <v>6259.9</v>
      </c>
      <c r="E361" s="240">
        <f t="shared" si="19"/>
        <v>12519.8</v>
      </c>
    </row>
    <row r="362" spans="1:5">
      <c r="A362" s="238" t="s">
        <v>748</v>
      </c>
      <c r="B362" s="207" t="s">
        <v>610</v>
      </c>
      <c r="C362" s="239">
        <v>1</v>
      </c>
      <c r="D362" s="240">
        <v>5076.5</v>
      </c>
      <c r="E362" s="240">
        <f t="shared" si="19"/>
        <v>5076.5</v>
      </c>
    </row>
    <row r="363" spans="1:5">
      <c r="A363" s="238" t="s">
        <v>749</v>
      </c>
      <c r="B363" s="207" t="s">
        <v>610</v>
      </c>
      <c r="C363" s="239">
        <v>1</v>
      </c>
      <c r="D363" s="240">
        <v>5305</v>
      </c>
      <c r="E363" s="240">
        <f t="shared" si="19"/>
        <v>5305</v>
      </c>
    </row>
    <row r="364" spans="1:5">
      <c r="A364" s="238" t="s">
        <v>750</v>
      </c>
      <c r="B364" s="207" t="s">
        <v>610</v>
      </c>
      <c r="C364" s="239">
        <v>7</v>
      </c>
      <c r="D364" s="240">
        <v>7824.875</v>
      </c>
      <c r="E364" s="240">
        <f t="shared" si="19"/>
        <v>54774.125</v>
      </c>
    </row>
    <row r="365" spans="1:5">
      <c r="A365" s="238" t="s">
        <v>732</v>
      </c>
      <c r="B365" s="207" t="s">
        <v>610</v>
      </c>
      <c r="C365" s="239">
        <v>1</v>
      </c>
      <c r="D365" s="240">
        <v>4615</v>
      </c>
      <c r="E365" s="240">
        <f t="shared" si="19"/>
        <v>4615</v>
      </c>
    </row>
    <row r="366" spans="1:5">
      <c r="A366" s="238" t="s">
        <v>716</v>
      </c>
      <c r="B366" s="207" t="s">
        <v>693</v>
      </c>
      <c r="C366" s="239">
        <v>1</v>
      </c>
      <c r="D366" s="240">
        <v>51220.01</v>
      </c>
      <c r="E366" s="240">
        <f t="shared" si="19"/>
        <v>51220.01</v>
      </c>
    </row>
    <row r="367" spans="1:5">
      <c r="A367" s="509" t="s">
        <v>717</v>
      </c>
      <c r="B367" s="510"/>
      <c r="C367" s="510"/>
      <c r="D367" s="510"/>
      <c r="E367" s="511"/>
    </row>
    <row r="368" spans="1:5">
      <c r="A368" s="238" t="str">
        <f t="shared" ref="A368:C369" si="20">+A355</f>
        <v>Tubos de 4" x 19´ PVC SDR-26</v>
      </c>
      <c r="B368" s="207" t="str">
        <f t="shared" si="20"/>
        <v>ML</v>
      </c>
      <c r="C368" s="239">
        <f t="shared" si="20"/>
        <v>783</v>
      </c>
      <c r="D368" s="240">
        <v>141.41049999999998</v>
      </c>
      <c r="E368" s="240">
        <f>+D368*C368</f>
        <v>110724.42149999998</v>
      </c>
    </row>
    <row r="369" spans="1:5">
      <c r="A369" s="238" t="str">
        <f t="shared" si="20"/>
        <v>Tubos de 2" x 19´ PVC SDR-26</v>
      </c>
      <c r="B369" s="207" t="str">
        <f t="shared" si="20"/>
        <v>ML</v>
      </c>
      <c r="C369" s="239">
        <f t="shared" si="20"/>
        <v>2131.5</v>
      </c>
      <c r="D369" s="240">
        <v>44.416050662061018</v>
      </c>
      <c r="E369" s="240">
        <f t="shared" ref="E369:E372" si="21">+D369*C369</f>
        <v>94672.811986183064</v>
      </c>
    </row>
    <row r="370" spans="1:5">
      <c r="A370" s="238" t="s">
        <v>751</v>
      </c>
      <c r="B370" s="207" t="s">
        <v>752</v>
      </c>
      <c r="C370" s="244">
        <v>0.35</v>
      </c>
      <c r="D370" s="240">
        <f>+SUM(E358:E365)</f>
        <v>206690.22500000001</v>
      </c>
      <c r="E370" s="240">
        <f t="shared" si="21"/>
        <v>72341.578750000001</v>
      </c>
    </row>
    <row r="371" spans="1:5">
      <c r="A371" s="238" t="s">
        <v>721</v>
      </c>
      <c r="B371" s="207" t="s">
        <v>693</v>
      </c>
      <c r="C371" s="239">
        <v>1</v>
      </c>
      <c r="D371" s="240">
        <v>642146.56000000006</v>
      </c>
      <c r="E371" s="240">
        <f t="shared" si="21"/>
        <v>642146.56000000006</v>
      </c>
    </row>
    <row r="372" spans="1:5">
      <c r="A372" s="238" t="s">
        <v>692</v>
      </c>
      <c r="B372" s="207" t="s">
        <v>693</v>
      </c>
      <c r="C372" s="239">
        <v>1</v>
      </c>
      <c r="D372" s="240">
        <v>2961744.1119376062</v>
      </c>
      <c r="E372" s="240">
        <f t="shared" si="21"/>
        <v>2961744.1119376062</v>
      </c>
    </row>
    <row r="373" spans="1:5">
      <c r="A373" s="515" t="s">
        <v>143</v>
      </c>
      <c r="B373" s="515"/>
      <c r="C373" s="515"/>
      <c r="D373" s="515"/>
      <c r="E373" s="249">
        <f>+SUM(E368:E372,E355:E366,E350:E353)</f>
        <v>14622154.001455739</v>
      </c>
    </row>
    <row r="374" spans="1:5">
      <c r="B374" s="216"/>
    </row>
    <row r="375" spans="1:5">
      <c r="B375" s="216"/>
    </row>
    <row r="376" spans="1:5" ht="18.75">
      <c r="A376" s="391" t="s">
        <v>137</v>
      </c>
      <c r="B376" s="391"/>
      <c r="C376" s="391"/>
      <c r="D376" s="391"/>
      <c r="E376" s="391"/>
    </row>
    <row r="377" spans="1:5" ht="18.75">
      <c r="A377" s="525" t="s">
        <v>622</v>
      </c>
      <c r="B377" s="526"/>
      <c r="C377" s="526"/>
      <c r="D377" s="526"/>
      <c r="E377" s="527"/>
    </row>
    <row r="378" spans="1:5">
      <c r="A378" s="217" t="s">
        <v>138</v>
      </c>
      <c r="B378" s="217" t="s">
        <v>139</v>
      </c>
      <c r="C378" s="217" t="s">
        <v>140</v>
      </c>
      <c r="D378" s="217" t="s">
        <v>141</v>
      </c>
      <c r="E378" s="217" t="s">
        <v>142</v>
      </c>
    </row>
    <row r="379" spans="1:5">
      <c r="A379" s="516" t="s">
        <v>694</v>
      </c>
      <c r="B379" s="517"/>
      <c r="C379" s="517"/>
      <c r="D379" s="517"/>
      <c r="E379" s="518"/>
    </row>
    <row r="380" spans="1:5" ht="30">
      <c r="A380" s="238" t="s">
        <v>740</v>
      </c>
      <c r="B380" s="207" t="s">
        <v>698</v>
      </c>
      <c r="C380" s="239">
        <v>120</v>
      </c>
      <c r="D380" s="240">
        <v>3010</v>
      </c>
      <c r="E380" s="240">
        <f>+D380*C380</f>
        <v>361200</v>
      </c>
    </row>
    <row r="381" spans="1:5" ht="30">
      <c r="A381" s="238" t="s">
        <v>725</v>
      </c>
      <c r="B381" s="207" t="s">
        <v>698</v>
      </c>
      <c r="C381" s="239">
        <v>6</v>
      </c>
      <c r="D381" s="240">
        <v>2514</v>
      </c>
      <c r="E381" s="240">
        <f t="shared" ref="E381:E383" si="22">+D381*C381</f>
        <v>15084</v>
      </c>
    </row>
    <row r="382" spans="1:5">
      <c r="A382" s="238" t="s">
        <v>741</v>
      </c>
      <c r="B382" s="207" t="s">
        <v>698</v>
      </c>
      <c r="C382" s="239">
        <v>9.480000000000004</v>
      </c>
      <c r="D382" s="240">
        <v>320</v>
      </c>
      <c r="E382" s="240">
        <f t="shared" si="22"/>
        <v>3033.6000000000013</v>
      </c>
    </row>
    <row r="383" spans="1:5" ht="45">
      <c r="A383" s="238" t="s">
        <v>726</v>
      </c>
      <c r="B383" s="207" t="s">
        <v>698</v>
      </c>
      <c r="C383" s="239">
        <v>110.52</v>
      </c>
      <c r="D383" s="240">
        <v>1150</v>
      </c>
      <c r="E383" s="240">
        <f t="shared" si="22"/>
        <v>127098</v>
      </c>
    </row>
    <row r="384" spans="1:5">
      <c r="A384" s="516" t="s">
        <v>702</v>
      </c>
      <c r="B384" s="517"/>
      <c r="C384" s="517"/>
      <c r="D384" s="517"/>
      <c r="E384" s="518"/>
    </row>
    <row r="385" spans="1:5">
      <c r="A385" s="238" t="s">
        <v>728</v>
      </c>
      <c r="B385" s="207" t="s">
        <v>729</v>
      </c>
      <c r="C385" s="239">
        <v>200</v>
      </c>
      <c r="D385" s="240">
        <v>126.90300189160291</v>
      </c>
      <c r="E385" s="240">
        <f t="shared" ref="E385:E396" si="23">+D385*C385</f>
        <v>25380.600378320582</v>
      </c>
    </row>
    <row r="386" spans="1:5">
      <c r="A386" s="238" t="s">
        <v>730</v>
      </c>
      <c r="B386" s="207" t="s">
        <v>731</v>
      </c>
      <c r="C386" s="239">
        <v>1</v>
      </c>
      <c r="D386" s="240">
        <v>5000</v>
      </c>
      <c r="E386" s="240">
        <f t="shared" si="23"/>
        <v>5000</v>
      </c>
    </row>
    <row r="387" spans="1:5">
      <c r="A387" s="238" t="s">
        <v>732</v>
      </c>
      <c r="B387" s="207" t="s">
        <v>610</v>
      </c>
      <c r="C387" s="239">
        <v>2</v>
      </c>
      <c r="D387" s="240">
        <v>2150</v>
      </c>
      <c r="E387" s="240">
        <f t="shared" si="23"/>
        <v>4300</v>
      </c>
    </row>
    <row r="388" spans="1:5">
      <c r="A388" s="238" t="s">
        <v>733</v>
      </c>
      <c r="B388" s="207" t="s">
        <v>610</v>
      </c>
      <c r="C388" s="239">
        <v>1</v>
      </c>
      <c r="D388" s="240">
        <v>2072.5520000000001</v>
      </c>
      <c r="E388" s="240">
        <f t="shared" si="23"/>
        <v>2072.5520000000001</v>
      </c>
    </row>
    <row r="389" spans="1:5">
      <c r="A389" s="238" t="s">
        <v>883</v>
      </c>
      <c r="B389" s="207" t="s">
        <v>610</v>
      </c>
      <c r="C389" s="239">
        <v>1</v>
      </c>
      <c r="D389" s="240">
        <v>6500</v>
      </c>
      <c r="E389" s="240">
        <f t="shared" si="23"/>
        <v>6500</v>
      </c>
    </row>
    <row r="390" spans="1:5">
      <c r="A390" s="238" t="s">
        <v>736</v>
      </c>
      <c r="B390" s="207" t="s">
        <v>610</v>
      </c>
      <c r="C390" s="239">
        <v>3</v>
      </c>
      <c r="D390" s="240">
        <v>3210</v>
      </c>
      <c r="E390" s="240">
        <f t="shared" si="23"/>
        <v>9630</v>
      </c>
    </row>
    <row r="391" spans="1:5">
      <c r="A391" s="238" t="s">
        <v>716</v>
      </c>
      <c r="B391" s="207" t="s">
        <v>693</v>
      </c>
      <c r="C391" s="239">
        <v>1</v>
      </c>
      <c r="D391" s="240">
        <v>50160.01</v>
      </c>
      <c r="E391" s="240">
        <f t="shared" si="23"/>
        <v>50160.01</v>
      </c>
    </row>
    <row r="392" spans="1:5">
      <c r="A392" s="509" t="s">
        <v>717</v>
      </c>
      <c r="B392" s="510"/>
      <c r="C392" s="510"/>
      <c r="D392" s="510"/>
      <c r="E392" s="511"/>
    </row>
    <row r="393" spans="1:5">
      <c r="A393" s="238" t="str">
        <f>+A385</f>
        <v>Tubos de 2" x 19´ PVC SDR-26</v>
      </c>
      <c r="B393" s="207" t="str">
        <f>+B385</f>
        <v>ML</v>
      </c>
      <c r="C393" s="239">
        <f>+C385</f>
        <v>200</v>
      </c>
      <c r="D393" s="240">
        <v>44.416050662061018</v>
      </c>
      <c r="E393" s="240">
        <f t="shared" si="23"/>
        <v>8883.2101324122032</v>
      </c>
    </row>
    <row r="394" spans="1:5">
      <c r="A394" s="238" t="s">
        <v>751</v>
      </c>
      <c r="B394" s="207" t="s">
        <v>752</v>
      </c>
      <c r="C394" s="244">
        <v>0.35</v>
      </c>
      <c r="D394" s="240">
        <f>+SUM(E387:E390)</f>
        <v>22502.552</v>
      </c>
      <c r="E394" s="240">
        <f t="shared" si="23"/>
        <v>7875.8931999999995</v>
      </c>
    </row>
    <row r="395" spans="1:5">
      <c r="A395" s="238" t="s">
        <v>721</v>
      </c>
      <c r="B395" s="207" t="s">
        <v>693</v>
      </c>
      <c r="C395" s="239">
        <v>1</v>
      </c>
      <c r="D395" s="240">
        <v>312500</v>
      </c>
      <c r="E395" s="240">
        <f t="shared" si="23"/>
        <v>312500</v>
      </c>
    </row>
    <row r="396" spans="1:5">
      <c r="A396" s="238" t="s">
        <v>692</v>
      </c>
      <c r="B396" s="207" t="s">
        <v>693</v>
      </c>
      <c r="C396" s="239">
        <v>1</v>
      </c>
      <c r="D396" s="240">
        <v>238434.33789052611</v>
      </c>
      <c r="E396" s="240">
        <f t="shared" si="23"/>
        <v>238434.33789052611</v>
      </c>
    </row>
    <row r="397" spans="1:5">
      <c r="A397" s="515" t="s">
        <v>143</v>
      </c>
      <c r="B397" s="515"/>
      <c r="C397" s="515"/>
      <c r="D397" s="515"/>
      <c r="E397" s="249">
        <f>+SUM(E393:E396,E385:E391,E380:E383)</f>
        <v>1177152.2036012588</v>
      </c>
    </row>
    <row r="398" spans="1:5">
      <c r="B398" s="216"/>
    </row>
    <row r="399" spans="1:5">
      <c r="B399" s="216"/>
    </row>
    <row r="400" spans="1:5" ht="18.75">
      <c r="A400" s="391" t="s">
        <v>137</v>
      </c>
      <c r="B400" s="391"/>
      <c r="C400" s="391"/>
      <c r="D400" s="391"/>
      <c r="E400" s="391"/>
    </row>
    <row r="401" spans="1:5" ht="17.25">
      <c r="A401" s="528" t="s">
        <v>623</v>
      </c>
      <c r="B401" s="529"/>
      <c r="C401" s="529"/>
      <c r="D401" s="529"/>
      <c r="E401" s="530"/>
    </row>
    <row r="402" spans="1:5">
      <c r="A402" s="217" t="s">
        <v>138</v>
      </c>
      <c r="B402" s="217" t="s">
        <v>139</v>
      </c>
      <c r="C402" s="217" t="s">
        <v>140</v>
      </c>
      <c r="D402" s="217" t="s">
        <v>141</v>
      </c>
      <c r="E402" s="217" t="s">
        <v>142</v>
      </c>
    </row>
    <row r="403" spans="1:5">
      <c r="A403" s="516" t="s">
        <v>694</v>
      </c>
      <c r="B403" s="517"/>
      <c r="C403" s="517"/>
      <c r="D403" s="517"/>
      <c r="E403" s="518"/>
    </row>
    <row r="404" spans="1:5" ht="30">
      <c r="A404" s="238" t="s">
        <v>740</v>
      </c>
      <c r="B404" s="207" t="s">
        <v>698</v>
      </c>
      <c r="C404" s="239">
        <v>1689.7649999999999</v>
      </c>
      <c r="D404" s="240">
        <v>3010</v>
      </c>
      <c r="E404" s="240">
        <f>+D404*C404</f>
        <v>5086192.6499999994</v>
      </c>
    </row>
    <row r="405" spans="1:5" ht="30">
      <c r="A405" s="238" t="s">
        <v>725</v>
      </c>
      <c r="B405" s="207" t="s">
        <v>698</v>
      </c>
      <c r="C405" s="239">
        <v>79.320000000000007</v>
      </c>
      <c r="D405" s="240">
        <v>2514</v>
      </c>
      <c r="E405" s="240">
        <f t="shared" ref="E405:E416" si="24">+D405*C405</f>
        <v>199410.48</v>
      </c>
    </row>
    <row r="406" spans="1:5">
      <c r="A406" s="238" t="s">
        <v>741</v>
      </c>
      <c r="B406" s="207" t="s">
        <v>698</v>
      </c>
      <c r="C406" s="239">
        <v>2349.91</v>
      </c>
      <c r="D406" s="240">
        <v>320</v>
      </c>
      <c r="E406" s="240">
        <f t="shared" si="24"/>
        <v>751971.2</v>
      </c>
    </row>
    <row r="407" spans="1:5" ht="45">
      <c r="A407" s="238" t="s">
        <v>726</v>
      </c>
      <c r="B407" s="207" t="s">
        <v>698</v>
      </c>
      <c r="C407" s="239">
        <v>1764.7580549999998</v>
      </c>
      <c r="D407" s="240">
        <v>1150</v>
      </c>
      <c r="E407" s="240">
        <f t="shared" si="24"/>
        <v>2029471.7632499998</v>
      </c>
    </row>
    <row r="408" spans="1:5">
      <c r="A408" s="516" t="s">
        <v>702</v>
      </c>
      <c r="B408" s="517"/>
      <c r="C408" s="517"/>
      <c r="D408" s="517"/>
      <c r="E408" s="518"/>
    </row>
    <row r="409" spans="1:5">
      <c r="A409" s="238" t="s">
        <v>884</v>
      </c>
      <c r="B409" s="207" t="s">
        <v>729</v>
      </c>
      <c r="C409" s="239">
        <v>2299</v>
      </c>
      <c r="D409" s="240">
        <v>126.90300189160291</v>
      </c>
      <c r="E409" s="240">
        <f t="shared" si="24"/>
        <v>291750.00134879508</v>
      </c>
    </row>
    <row r="410" spans="1:5">
      <c r="A410" s="238" t="s">
        <v>743</v>
      </c>
      <c r="B410" s="207" t="s">
        <v>731</v>
      </c>
      <c r="C410" s="239">
        <v>4.5</v>
      </c>
      <c r="D410" s="240">
        <v>5000</v>
      </c>
      <c r="E410" s="240">
        <f t="shared" si="24"/>
        <v>22500</v>
      </c>
    </row>
    <row r="411" spans="1:5">
      <c r="A411" s="238" t="s">
        <v>744</v>
      </c>
      <c r="B411" s="207" t="s">
        <v>610</v>
      </c>
      <c r="C411" s="239">
        <v>2</v>
      </c>
      <c r="D411" s="240">
        <v>5305</v>
      </c>
      <c r="E411" s="240">
        <f t="shared" si="24"/>
        <v>10610</v>
      </c>
    </row>
    <row r="412" spans="1:5">
      <c r="A412" s="238" t="s">
        <v>745</v>
      </c>
      <c r="B412" s="207" t="s">
        <v>610</v>
      </c>
      <c r="C412" s="239">
        <v>13</v>
      </c>
      <c r="D412" s="240">
        <v>4615</v>
      </c>
      <c r="E412" s="240">
        <f t="shared" si="24"/>
        <v>59995</v>
      </c>
    </row>
    <row r="413" spans="1:5">
      <c r="A413" s="238" t="s">
        <v>885</v>
      </c>
      <c r="B413" s="207" t="s">
        <v>610</v>
      </c>
      <c r="C413" s="239">
        <v>4</v>
      </c>
      <c r="D413" s="240">
        <v>2072</v>
      </c>
      <c r="E413" s="240">
        <f t="shared" si="24"/>
        <v>8288</v>
      </c>
    </row>
    <row r="414" spans="1:5">
      <c r="A414" s="238" t="s">
        <v>750</v>
      </c>
      <c r="B414" s="207" t="s">
        <v>610</v>
      </c>
      <c r="C414" s="239">
        <v>1</v>
      </c>
      <c r="D414" s="240">
        <v>7824.875</v>
      </c>
      <c r="E414" s="240">
        <f t="shared" si="24"/>
        <v>7824.875</v>
      </c>
    </row>
    <row r="415" spans="1:5">
      <c r="A415" s="238" t="s">
        <v>732</v>
      </c>
      <c r="B415" s="207" t="s">
        <v>610</v>
      </c>
      <c r="C415" s="239">
        <v>4</v>
      </c>
      <c r="D415" s="240">
        <v>4615</v>
      </c>
      <c r="E415" s="240">
        <f t="shared" si="24"/>
        <v>18460</v>
      </c>
    </row>
    <row r="416" spans="1:5">
      <c r="A416" s="238" t="s">
        <v>716</v>
      </c>
      <c r="B416" s="207" t="s">
        <v>693</v>
      </c>
      <c r="C416" s="239">
        <v>1</v>
      </c>
      <c r="D416" s="240">
        <v>51220.01</v>
      </c>
      <c r="E416" s="240">
        <f t="shared" si="24"/>
        <v>51220.01</v>
      </c>
    </row>
    <row r="417" spans="1:5">
      <c r="A417" s="509" t="s">
        <v>717</v>
      </c>
      <c r="B417" s="510"/>
      <c r="C417" s="510"/>
      <c r="D417" s="510"/>
      <c r="E417" s="511"/>
    </row>
    <row r="418" spans="1:5">
      <c r="A418" s="238" t="str">
        <f>+A409</f>
        <v xml:space="preserve">Tubos de 2" x 19´ </v>
      </c>
      <c r="B418" s="207" t="str">
        <f>+B409</f>
        <v>ML</v>
      </c>
      <c r="C418" s="239">
        <f>+C409</f>
        <v>2299</v>
      </c>
      <c r="D418" s="240">
        <v>44.416050662061018</v>
      </c>
      <c r="E418" s="240">
        <f t="shared" ref="E418:E421" si="25">+D418*C418</f>
        <v>102112.50047207827</v>
      </c>
    </row>
    <row r="419" spans="1:5">
      <c r="A419" s="238" t="s">
        <v>751</v>
      </c>
      <c r="B419" s="207" t="s">
        <v>752</v>
      </c>
      <c r="C419" s="244">
        <v>0.35</v>
      </c>
      <c r="D419" s="240">
        <f>+SUM(E411:E415)</f>
        <v>105177.875</v>
      </c>
      <c r="E419" s="240">
        <f t="shared" si="25"/>
        <v>36812.256249999999</v>
      </c>
    </row>
    <row r="420" spans="1:5">
      <c r="A420" s="238" t="s">
        <v>721</v>
      </c>
      <c r="B420" s="207" t="s">
        <v>693</v>
      </c>
      <c r="C420" s="239">
        <v>1</v>
      </c>
      <c r="D420" s="240">
        <v>642146.56000000006</v>
      </c>
      <c r="E420" s="240">
        <f t="shared" si="25"/>
        <v>642146.56000000006</v>
      </c>
    </row>
    <row r="421" spans="1:5">
      <c r="A421" s="238" t="s">
        <v>692</v>
      </c>
      <c r="B421" s="207" t="s">
        <v>693</v>
      </c>
      <c r="C421" s="239">
        <v>1</v>
      </c>
      <c r="D421" s="240">
        <v>2366966.3852655012</v>
      </c>
      <c r="E421" s="240">
        <f t="shared" si="25"/>
        <v>2366966.3852655012</v>
      </c>
    </row>
    <row r="422" spans="1:5">
      <c r="A422" s="515" t="s">
        <v>143</v>
      </c>
      <c r="B422" s="515"/>
      <c r="C422" s="515"/>
      <c r="D422" s="515"/>
      <c r="E422" s="249">
        <f>+SUM(E418:E421,E409:E416,E404:E407)</f>
        <v>11685731.681586374</v>
      </c>
    </row>
    <row r="423" spans="1:5">
      <c r="B423" s="216"/>
    </row>
    <row r="424" spans="1:5">
      <c r="B424" s="216"/>
    </row>
    <row r="425" spans="1:5">
      <c r="B425" s="216"/>
    </row>
    <row r="426" spans="1:5" ht="18.75">
      <c r="A426" s="391" t="s">
        <v>137</v>
      </c>
      <c r="B426" s="391"/>
      <c r="C426" s="391"/>
      <c r="D426" s="391"/>
      <c r="E426" s="391"/>
    </row>
    <row r="427" spans="1:5" ht="18.75">
      <c r="A427" s="512" t="s">
        <v>947</v>
      </c>
      <c r="B427" s="513"/>
      <c r="C427" s="513"/>
      <c r="D427" s="513"/>
      <c r="E427" s="514"/>
    </row>
    <row r="428" spans="1:5">
      <c r="A428" s="217" t="s">
        <v>138</v>
      </c>
      <c r="B428" s="217" t="s">
        <v>139</v>
      </c>
      <c r="C428" s="217" t="s">
        <v>140</v>
      </c>
      <c r="D428" s="217" t="s">
        <v>141</v>
      </c>
      <c r="E428" s="217" t="s">
        <v>142</v>
      </c>
    </row>
    <row r="429" spans="1:5">
      <c r="A429" s="509" t="s">
        <v>753</v>
      </c>
      <c r="B429" s="510"/>
      <c r="C429" s="510"/>
      <c r="D429" s="510"/>
      <c r="E429" s="511"/>
    </row>
    <row r="430" spans="1:5">
      <c r="A430" s="238" t="s">
        <v>754</v>
      </c>
      <c r="B430" s="207" t="s">
        <v>755</v>
      </c>
      <c r="C430" s="239">
        <v>702</v>
      </c>
      <c r="D430" s="240">
        <v>319.73555104116218</v>
      </c>
      <c r="E430" s="240">
        <f>+D430*C430</f>
        <v>224454.35683089585</v>
      </c>
    </row>
    <row r="431" spans="1:5">
      <c r="A431" s="238" t="s">
        <v>756</v>
      </c>
      <c r="B431" s="207" t="s">
        <v>755</v>
      </c>
      <c r="C431" s="239">
        <v>772.2</v>
      </c>
      <c r="D431" s="240">
        <v>216.14</v>
      </c>
      <c r="E431" s="240">
        <f t="shared" ref="E431:E432" si="26">+D431*C431</f>
        <v>166903.30799999999</v>
      </c>
    </row>
    <row r="432" spans="1:5" ht="30">
      <c r="A432" s="238" t="s">
        <v>757</v>
      </c>
      <c r="B432" s="207" t="s">
        <v>755</v>
      </c>
      <c r="C432" s="239">
        <v>1614</v>
      </c>
      <c r="D432" s="240">
        <v>52.25</v>
      </c>
      <c r="E432" s="240">
        <f t="shared" si="26"/>
        <v>84331.5</v>
      </c>
    </row>
    <row r="433" spans="1:5">
      <c r="A433" s="509" t="s">
        <v>694</v>
      </c>
      <c r="B433" s="510"/>
      <c r="C433" s="510"/>
      <c r="D433" s="510"/>
      <c r="E433" s="511"/>
    </row>
    <row r="434" spans="1:5" ht="30">
      <c r="A434" s="238" t="s">
        <v>758</v>
      </c>
      <c r="B434" s="207" t="s">
        <v>698</v>
      </c>
      <c r="C434" s="239">
        <v>184.27499999999998</v>
      </c>
      <c r="D434" s="240">
        <v>3010</v>
      </c>
      <c r="E434" s="240">
        <f>+D434*C434</f>
        <v>554667.74999999988</v>
      </c>
    </row>
    <row r="435" spans="1:5">
      <c r="A435" s="509" t="s">
        <v>759</v>
      </c>
      <c r="B435" s="510"/>
      <c r="C435" s="510"/>
      <c r="D435" s="510"/>
      <c r="E435" s="511"/>
    </row>
    <row r="436" spans="1:5" ht="45">
      <c r="A436" s="238" t="s">
        <v>760</v>
      </c>
      <c r="B436" s="207" t="s">
        <v>698</v>
      </c>
      <c r="C436" s="239">
        <v>131.625</v>
      </c>
      <c r="D436" s="240">
        <v>11441.15</v>
      </c>
      <c r="E436" s="240">
        <f>+D436*C436</f>
        <v>1505941.3687499999</v>
      </c>
    </row>
    <row r="437" spans="1:5" ht="30">
      <c r="A437" s="238" t="s">
        <v>761</v>
      </c>
      <c r="B437" s="207" t="s">
        <v>698</v>
      </c>
      <c r="C437" s="239">
        <v>26.426250000000003</v>
      </c>
      <c r="D437" s="240">
        <v>14022.24</v>
      </c>
      <c r="E437" s="240">
        <f t="shared" ref="E437:E439" si="27">+D437*C437</f>
        <v>370555.21980000002</v>
      </c>
    </row>
    <row r="438" spans="1:5" ht="45">
      <c r="A438" s="238" t="s">
        <v>762</v>
      </c>
      <c r="B438" s="207" t="s">
        <v>698</v>
      </c>
      <c r="C438" s="239">
        <v>36.347499999999997</v>
      </c>
      <c r="D438" s="240">
        <v>56342.51</v>
      </c>
      <c r="E438" s="240">
        <f t="shared" si="27"/>
        <v>2047909.3822249998</v>
      </c>
    </row>
    <row r="439" spans="1:5" ht="45">
      <c r="A439" s="238" t="s">
        <v>763</v>
      </c>
      <c r="B439" s="207" t="s">
        <v>698</v>
      </c>
      <c r="C439" s="239">
        <v>35.1</v>
      </c>
      <c r="D439" s="240">
        <v>46513.47</v>
      </c>
      <c r="E439" s="240">
        <f t="shared" si="27"/>
        <v>1632622.797</v>
      </c>
    </row>
    <row r="440" spans="1:5">
      <c r="A440" s="509" t="s">
        <v>764</v>
      </c>
      <c r="B440" s="510"/>
      <c r="C440" s="510"/>
      <c r="D440" s="510"/>
      <c r="E440" s="511"/>
    </row>
    <row r="441" spans="1:5" ht="30">
      <c r="A441" s="238" t="s">
        <v>765</v>
      </c>
      <c r="B441" s="207" t="s">
        <v>755</v>
      </c>
      <c r="C441" s="239">
        <v>3443.0770000000002</v>
      </c>
      <c r="D441" s="240">
        <v>1616.79</v>
      </c>
      <c r="E441" s="240">
        <f>+D441*C441</f>
        <v>5566732.4628300006</v>
      </c>
    </row>
    <row r="442" spans="1:5">
      <c r="A442" s="509" t="s">
        <v>766</v>
      </c>
      <c r="B442" s="510"/>
      <c r="C442" s="510"/>
      <c r="D442" s="510"/>
      <c r="E442" s="511"/>
    </row>
    <row r="443" spans="1:5">
      <c r="A443" s="238" t="s">
        <v>767</v>
      </c>
      <c r="B443" s="207" t="s">
        <v>755</v>
      </c>
      <c r="C443" s="239">
        <v>515.91600000000005</v>
      </c>
      <c r="D443" s="240">
        <v>102.95</v>
      </c>
      <c r="E443" s="240">
        <f>+D443*C443</f>
        <v>53113.552200000006</v>
      </c>
    </row>
    <row r="444" spans="1:5" ht="30">
      <c r="A444" s="238" t="s">
        <v>768</v>
      </c>
      <c r="B444" s="207" t="s">
        <v>755</v>
      </c>
      <c r="C444" s="239">
        <v>515.91600000000005</v>
      </c>
      <c r="D444" s="240">
        <v>915.56</v>
      </c>
      <c r="E444" s="240">
        <f>+D444*C444</f>
        <v>472352.05296</v>
      </c>
    </row>
    <row r="445" spans="1:5">
      <c r="A445" s="509" t="s">
        <v>769</v>
      </c>
      <c r="B445" s="510"/>
      <c r="C445" s="510"/>
      <c r="D445" s="510"/>
      <c r="E445" s="511"/>
    </row>
    <row r="446" spans="1:5" ht="45">
      <c r="A446" s="238" t="s">
        <v>770</v>
      </c>
      <c r="B446" s="207" t="s">
        <v>771</v>
      </c>
      <c r="C446" s="239">
        <v>2</v>
      </c>
      <c r="D446" s="240">
        <v>17967</v>
      </c>
      <c r="E446" s="240">
        <f>+D446*C446</f>
        <v>35934</v>
      </c>
    </row>
    <row r="447" spans="1:5" ht="45">
      <c r="A447" s="238" t="s">
        <v>772</v>
      </c>
      <c r="B447" s="207" t="s">
        <v>771</v>
      </c>
      <c r="C447" s="239">
        <v>2</v>
      </c>
      <c r="D447" s="240">
        <v>19774.3</v>
      </c>
      <c r="E447" s="240">
        <f>+D447*C447</f>
        <v>39548.6</v>
      </c>
    </row>
    <row r="448" spans="1:5">
      <c r="A448" s="509" t="s">
        <v>773</v>
      </c>
      <c r="B448" s="510"/>
      <c r="C448" s="510"/>
      <c r="D448" s="510"/>
      <c r="E448" s="511"/>
    </row>
    <row r="449" spans="1:5">
      <c r="A449" s="238" t="s">
        <v>774</v>
      </c>
      <c r="B449" s="207" t="s">
        <v>755</v>
      </c>
      <c r="C449" s="239">
        <v>7402.0700000000006</v>
      </c>
      <c r="D449" s="240">
        <v>347.21</v>
      </c>
      <c r="E449" s="240">
        <f>+D449*C449</f>
        <v>2570072.7247000001</v>
      </c>
    </row>
    <row r="450" spans="1:5" ht="30">
      <c r="A450" s="238" t="s">
        <v>775</v>
      </c>
      <c r="B450" s="207" t="s">
        <v>771</v>
      </c>
      <c r="C450" s="239">
        <v>2</v>
      </c>
      <c r="D450" s="240">
        <v>2293522.7468828037</v>
      </c>
      <c r="E450" s="240">
        <f>+D450*C450</f>
        <v>4587045.4937656075</v>
      </c>
    </row>
    <row r="451" spans="1:5">
      <c r="A451" s="238" t="s">
        <v>692</v>
      </c>
      <c r="B451" s="207" t="s">
        <v>693</v>
      </c>
      <c r="C451" s="239">
        <v>1</v>
      </c>
      <c r="D451" s="240">
        <v>5057694.8805416226</v>
      </c>
      <c r="E451" s="240">
        <f>+D451*C451</f>
        <v>5057694.8805416226</v>
      </c>
    </row>
    <row r="452" spans="1:5">
      <c r="A452" s="515" t="s">
        <v>143</v>
      </c>
      <c r="B452" s="515"/>
      <c r="C452" s="515"/>
      <c r="D452" s="515"/>
      <c r="E452" s="249">
        <f>+SUM(E449:E451,E446:E447,E443:E444,E441,E436:E439,E434,E430:E432)</f>
        <v>24969879.449603118</v>
      </c>
    </row>
    <row r="453" spans="1:5">
      <c r="B453" s="216"/>
    </row>
    <row r="454" spans="1:5">
      <c r="B454" s="216"/>
    </row>
    <row r="455" spans="1:5" ht="18.75">
      <c r="A455" s="391" t="s">
        <v>137</v>
      </c>
      <c r="B455" s="391"/>
      <c r="C455" s="391"/>
      <c r="D455" s="391"/>
      <c r="E455" s="391"/>
    </row>
    <row r="456" spans="1:5" ht="18.75">
      <c r="A456" s="512" t="s">
        <v>809</v>
      </c>
      <c r="B456" s="513"/>
      <c r="C456" s="513"/>
      <c r="D456" s="513"/>
      <c r="E456" s="514"/>
    </row>
    <row r="457" spans="1:5">
      <c r="A457" s="217" t="s">
        <v>138</v>
      </c>
      <c r="B457" s="217" t="s">
        <v>139</v>
      </c>
      <c r="C457" s="217" t="s">
        <v>140</v>
      </c>
      <c r="D457" s="217" t="s">
        <v>141</v>
      </c>
      <c r="E457" s="217" t="s">
        <v>142</v>
      </c>
    </row>
    <row r="458" spans="1:5">
      <c r="A458" s="509" t="s">
        <v>810</v>
      </c>
      <c r="B458" s="510"/>
      <c r="C458" s="510"/>
      <c r="D458" s="510"/>
      <c r="E458" s="511"/>
    </row>
    <row r="459" spans="1:5" ht="45">
      <c r="A459" s="238" t="s">
        <v>811</v>
      </c>
      <c r="B459" s="207" t="s">
        <v>693</v>
      </c>
      <c r="C459" s="239">
        <v>1</v>
      </c>
      <c r="D459" s="240">
        <v>264000</v>
      </c>
      <c r="E459" s="240">
        <f>+D459*C459</f>
        <v>264000</v>
      </c>
    </row>
    <row r="460" spans="1:5">
      <c r="A460" s="238" t="s">
        <v>812</v>
      </c>
      <c r="B460" s="207" t="s">
        <v>698</v>
      </c>
      <c r="C460" s="239">
        <v>32.26</v>
      </c>
      <c r="D460" s="240">
        <v>164.55599999999998</v>
      </c>
      <c r="E460" s="240">
        <f t="shared" ref="E460:E522" si="28">+D460*C460</f>
        <v>5308.5765599999995</v>
      </c>
    </row>
    <row r="461" spans="1:5">
      <c r="A461" s="238" t="s">
        <v>695</v>
      </c>
      <c r="B461" s="207" t="s">
        <v>755</v>
      </c>
      <c r="C461" s="239">
        <v>161.29</v>
      </c>
      <c r="D461" s="240">
        <v>85.091999999999999</v>
      </c>
      <c r="E461" s="240">
        <f t="shared" si="28"/>
        <v>13724.488679999999</v>
      </c>
    </row>
    <row r="462" spans="1:5">
      <c r="A462" s="238" t="s">
        <v>813</v>
      </c>
      <c r="B462" s="207" t="s">
        <v>755</v>
      </c>
      <c r="C462" s="239">
        <v>180.26</v>
      </c>
      <c r="D462" s="240">
        <v>104.78399999999999</v>
      </c>
      <c r="E462" s="240">
        <f t="shared" si="28"/>
        <v>18888.363839999998</v>
      </c>
    </row>
    <row r="463" spans="1:5">
      <c r="A463" s="238" t="s">
        <v>814</v>
      </c>
      <c r="B463" s="207" t="s">
        <v>698</v>
      </c>
      <c r="C463" s="239">
        <v>32.26</v>
      </c>
      <c r="D463" s="240">
        <v>548.42399999999998</v>
      </c>
      <c r="E463" s="240">
        <f t="shared" si="28"/>
        <v>17692.158239999997</v>
      </c>
    </row>
    <row r="464" spans="1:5">
      <c r="A464" s="509" t="s">
        <v>694</v>
      </c>
      <c r="B464" s="510"/>
      <c r="C464" s="510"/>
      <c r="D464" s="510"/>
      <c r="E464" s="511"/>
    </row>
    <row r="465" spans="1:5" ht="30">
      <c r="A465" s="238" t="s">
        <v>815</v>
      </c>
      <c r="B465" s="207" t="s">
        <v>698</v>
      </c>
      <c r="C465" s="239">
        <v>32.799999999999997</v>
      </c>
      <c r="D465" s="240">
        <v>942.24</v>
      </c>
      <c r="E465" s="240">
        <f t="shared" si="28"/>
        <v>30905.471999999998</v>
      </c>
    </row>
    <row r="466" spans="1:5" ht="30">
      <c r="A466" s="238" t="s">
        <v>816</v>
      </c>
      <c r="B466" s="207" t="s">
        <v>698</v>
      </c>
      <c r="C466" s="239">
        <v>33.700000000000003</v>
      </c>
      <c r="D466" s="240">
        <v>942.24</v>
      </c>
      <c r="E466" s="240">
        <f t="shared" si="28"/>
        <v>31753.488000000001</v>
      </c>
    </row>
    <row r="467" spans="1:5">
      <c r="A467" s="238" t="s">
        <v>817</v>
      </c>
      <c r="B467" s="207" t="s">
        <v>698</v>
      </c>
      <c r="C467" s="239">
        <v>45.6</v>
      </c>
      <c r="D467" s="240">
        <v>911.72</v>
      </c>
      <c r="E467" s="240">
        <f t="shared" si="28"/>
        <v>41574.432000000001</v>
      </c>
    </row>
    <row r="468" spans="1:5">
      <c r="A468" s="238" t="s">
        <v>818</v>
      </c>
      <c r="B468" s="207" t="s">
        <v>698</v>
      </c>
      <c r="C468" s="239">
        <v>20.9</v>
      </c>
      <c r="D468" s="240">
        <v>548.42399999999998</v>
      </c>
      <c r="E468" s="240">
        <f t="shared" si="28"/>
        <v>11462.061599999999</v>
      </c>
    </row>
    <row r="469" spans="1:5">
      <c r="A469" s="509" t="s">
        <v>759</v>
      </c>
      <c r="B469" s="510"/>
      <c r="C469" s="510"/>
      <c r="D469" s="510"/>
      <c r="E469" s="511"/>
    </row>
    <row r="470" spans="1:5" ht="60">
      <c r="A470" s="238" t="s">
        <v>819</v>
      </c>
      <c r="B470" s="207" t="s">
        <v>698</v>
      </c>
      <c r="C470" s="239">
        <v>7.54</v>
      </c>
      <c r="D470" s="240">
        <v>14778.71</v>
      </c>
      <c r="E470" s="240">
        <f t="shared" si="28"/>
        <v>111431.47339999999</v>
      </c>
    </row>
    <row r="471" spans="1:5" ht="45">
      <c r="A471" s="238" t="s">
        <v>820</v>
      </c>
      <c r="B471" s="207" t="s">
        <v>698</v>
      </c>
      <c r="C471" s="239">
        <v>8.94</v>
      </c>
      <c r="D471" s="240">
        <v>28296.240000000002</v>
      </c>
      <c r="E471" s="240">
        <f t="shared" si="28"/>
        <v>252968.38560000001</v>
      </c>
    </row>
    <row r="472" spans="1:5" ht="45">
      <c r="A472" s="238" t="s">
        <v>821</v>
      </c>
      <c r="B472" s="207" t="s">
        <v>698</v>
      </c>
      <c r="C472" s="239">
        <v>13.46</v>
      </c>
      <c r="D472" s="240">
        <v>68085.012000000002</v>
      </c>
      <c r="E472" s="240">
        <f t="shared" si="28"/>
        <v>916424.26152000006</v>
      </c>
    </row>
    <row r="473" spans="1:5" ht="45">
      <c r="A473" s="238" t="s">
        <v>822</v>
      </c>
      <c r="B473" s="207" t="s">
        <v>698</v>
      </c>
      <c r="C473" s="239">
        <v>5.29</v>
      </c>
      <c r="D473" s="240">
        <v>59820.36</v>
      </c>
      <c r="E473" s="240">
        <f t="shared" si="28"/>
        <v>316449.70439999999</v>
      </c>
    </row>
    <row r="474" spans="1:5" ht="90">
      <c r="A474" s="238" t="s">
        <v>823</v>
      </c>
      <c r="B474" s="207" t="s">
        <v>698</v>
      </c>
      <c r="C474" s="239">
        <v>24.19</v>
      </c>
      <c r="D474" s="240">
        <v>82923.384000000005</v>
      </c>
      <c r="E474" s="240">
        <f t="shared" si="28"/>
        <v>2005916.6589600001</v>
      </c>
    </row>
    <row r="475" spans="1:5">
      <c r="A475" s="509" t="s">
        <v>824</v>
      </c>
      <c r="B475" s="510"/>
      <c r="C475" s="510"/>
      <c r="D475" s="510"/>
      <c r="E475" s="511"/>
    </row>
    <row r="476" spans="1:5" ht="45">
      <c r="A476" s="238" t="s">
        <v>825</v>
      </c>
      <c r="B476" s="207" t="s">
        <v>755</v>
      </c>
      <c r="C476" s="239">
        <v>190.54000000000002</v>
      </c>
      <c r="D476" s="240">
        <v>3232.212</v>
      </c>
      <c r="E476" s="240">
        <f t="shared" si="28"/>
        <v>615865.67448000005</v>
      </c>
    </row>
    <row r="477" spans="1:5">
      <c r="A477" s="509" t="s">
        <v>826</v>
      </c>
      <c r="B477" s="510"/>
      <c r="C477" s="510"/>
      <c r="D477" s="510"/>
      <c r="E477" s="511"/>
    </row>
    <row r="478" spans="1:5">
      <c r="A478" s="238" t="s">
        <v>827</v>
      </c>
      <c r="B478" s="207" t="s">
        <v>755</v>
      </c>
      <c r="C478" s="239">
        <v>280.27999999999997</v>
      </c>
      <c r="D478" s="240">
        <v>495</v>
      </c>
      <c r="E478" s="240">
        <f t="shared" si="28"/>
        <v>138738.59999999998</v>
      </c>
    </row>
    <row r="479" spans="1:5">
      <c r="A479" s="238" t="s">
        <v>828</v>
      </c>
      <c r="B479" s="207" t="s">
        <v>704</v>
      </c>
      <c r="C479" s="239">
        <v>187.2</v>
      </c>
      <c r="D479" s="240">
        <v>137.1</v>
      </c>
      <c r="E479" s="240">
        <f t="shared" si="28"/>
        <v>25665.119999999999</v>
      </c>
    </row>
    <row r="480" spans="1:5">
      <c r="A480" s="238" t="s">
        <v>829</v>
      </c>
      <c r="B480" s="207" t="s">
        <v>704</v>
      </c>
      <c r="C480" s="239">
        <v>2.08</v>
      </c>
      <c r="D480" s="240">
        <v>139.79999999999998</v>
      </c>
      <c r="E480" s="240">
        <f t="shared" si="28"/>
        <v>290.78399999999999</v>
      </c>
    </row>
    <row r="481" spans="1:5" ht="45">
      <c r="A481" s="238" t="s">
        <v>830</v>
      </c>
      <c r="B481" s="207" t="s">
        <v>610</v>
      </c>
      <c r="C481" s="239">
        <v>18</v>
      </c>
      <c r="D481" s="240">
        <v>1789.06</v>
      </c>
      <c r="E481" s="240">
        <f t="shared" si="28"/>
        <v>32203.079999999998</v>
      </c>
    </row>
    <row r="482" spans="1:5">
      <c r="A482" s="509" t="s">
        <v>831</v>
      </c>
      <c r="B482" s="510"/>
      <c r="C482" s="510"/>
      <c r="D482" s="510"/>
      <c r="E482" s="511"/>
    </row>
    <row r="483" spans="1:5">
      <c r="A483" s="238" t="s">
        <v>832</v>
      </c>
      <c r="B483" s="207" t="s">
        <v>610</v>
      </c>
      <c r="C483" s="239">
        <v>1</v>
      </c>
      <c r="D483" s="240">
        <v>13371.287999999999</v>
      </c>
      <c r="E483" s="240">
        <f t="shared" si="28"/>
        <v>13371.287999999999</v>
      </c>
    </row>
    <row r="484" spans="1:5">
      <c r="A484" s="238" t="s">
        <v>833</v>
      </c>
      <c r="B484" s="207" t="s">
        <v>610</v>
      </c>
      <c r="C484" s="239">
        <v>6</v>
      </c>
      <c r="D484" s="240">
        <v>3475.0080000000003</v>
      </c>
      <c r="E484" s="240">
        <f t="shared" si="28"/>
        <v>20850.048000000003</v>
      </c>
    </row>
    <row r="485" spans="1:5">
      <c r="A485" s="238" t="s">
        <v>834</v>
      </c>
      <c r="B485" s="207" t="s">
        <v>610</v>
      </c>
      <c r="C485" s="239">
        <v>2</v>
      </c>
      <c r="D485" s="240">
        <v>2709.7919999999999</v>
      </c>
      <c r="E485" s="240">
        <f t="shared" si="28"/>
        <v>5419.5839999999998</v>
      </c>
    </row>
    <row r="486" spans="1:5">
      <c r="A486" s="238" t="s">
        <v>835</v>
      </c>
      <c r="B486" s="207" t="s">
        <v>610</v>
      </c>
      <c r="C486" s="239">
        <v>12</v>
      </c>
      <c r="D486" s="240">
        <v>6180.96</v>
      </c>
      <c r="E486" s="240">
        <f t="shared" si="28"/>
        <v>74171.520000000004</v>
      </c>
    </row>
    <row r="487" spans="1:5">
      <c r="A487" s="238" t="s">
        <v>836</v>
      </c>
      <c r="B487" s="207" t="s">
        <v>610</v>
      </c>
      <c r="C487" s="239">
        <v>10</v>
      </c>
      <c r="D487" s="240">
        <v>2211.8040000000001</v>
      </c>
      <c r="E487" s="240">
        <f t="shared" si="28"/>
        <v>22118.04</v>
      </c>
    </row>
    <row r="488" spans="1:5" ht="30">
      <c r="A488" s="238" t="s">
        <v>837</v>
      </c>
      <c r="B488" s="207" t="s">
        <v>610</v>
      </c>
      <c r="C488" s="239">
        <v>8</v>
      </c>
      <c r="D488" s="240">
        <v>2288.1</v>
      </c>
      <c r="E488" s="240">
        <f t="shared" si="28"/>
        <v>18304.8</v>
      </c>
    </row>
    <row r="489" spans="1:5">
      <c r="A489" s="509" t="s">
        <v>838</v>
      </c>
      <c r="B489" s="510"/>
      <c r="C489" s="510"/>
      <c r="D489" s="510"/>
      <c r="E489" s="511"/>
    </row>
    <row r="490" spans="1:5">
      <c r="A490" s="238" t="s">
        <v>839</v>
      </c>
      <c r="B490" s="207" t="s">
        <v>610</v>
      </c>
      <c r="C490" s="239">
        <v>2</v>
      </c>
      <c r="D490" s="240">
        <v>14574</v>
      </c>
      <c r="E490" s="240">
        <f t="shared" si="28"/>
        <v>29148</v>
      </c>
    </row>
    <row r="491" spans="1:5">
      <c r="A491" s="238" t="s">
        <v>840</v>
      </c>
      <c r="B491" s="207" t="s">
        <v>610</v>
      </c>
      <c r="C491" s="239">
        <v>2</v>
      </c>
      <c r="D491" s="240">
        <v>13602.755999999999</v>
      </c>
      <c r="E491" s="240">
        <f t="shared" si="28"/>
        <v>27205.511999999999</v>
      </c>
    </row>
    <row r="492" spans="1:5">
      <c r="A492" s="238" t="s">
        <v>841</v>
      </c>
      <c r="B492" s="207" t="s">
        <v>610</v>
      </c>
      <c r="C492" s="239">
        <v>2</v>
      </c>
      <c r="D492" s="240">
        <v>2153.1120000000001</v>
      </c>
      <c r="E492" s="240">
        <f t="shared" si="28"/>
        <v>4306.2240000000002</v>
      </c>
    </row>
    <row r="493" spans="1:5">
      <c r="A493" s="238" t="s">
        <v>842</v>
      </c>
      <c r="B493" s="207" t="s">
        <v>610</v>
      </c>
      <c r="C493" s="239">
        <v>2</v>
      </c>
      <c r="D493" s="240">
        <v>4390.8599999999997</v>
      </c>
      <c r="E493" s="240">
        <f t="shared" si="28"/>
        <v>8781.7199999999993</v>
      </c>
    </row>
    <row r="494" spans="1:5" ht="30">
      <c r="A494" s="238" t="s">
        <v>843</v>
      </c>
      <c r="B494" s="207" t="s">
        <v>610</v>
      </c>
      <c r="C494" s="239">
        <v>2</v>
      </c>
      <c r="D494" s="240">
        <v>7307.8319999999994</v>
      </c>
      <c r="E494" s="240">
        <f t="shared" si="28"/>
        <v>14615.663999999999</v>
      </c>
    </row>
    <row r="495" spans="1:5" ht="30">
      <c r="A495" s="238" t="s">
        <v>844</v>
      </c>
      <c r="B495" s="207" t="s">
        <v>610</v>
      </c>
      <c r="C495" s="239">
        <v>2</v>
      </c>
      <c r="D495" s="240">
        <v>1733.184</v>
      </c>
      <c r="E495" s="240">
        <f t="shared" si="28"/>
        <v>3466.3679999999999</v>
      </c>
    </row>
    <row r="496" spans="1:5">
      <c r="A496" s="238" t="s">
        <v>845</v>
      </c>
      <c r="B496" s="207" t="s">
        <v>610</v>
      </c>
      <c r="C496" s="239">
        <v>2</v>
      </c>
      <c r="D496" s="240">
        <v>5856.54</v>
      </c>
      <c r="E496" s="240">
        <f t="shared" si="28"/>
        <v>11713.08</v>
      </c>
    </row>
    <row r="497" spans="1:5" ht="30">
      <c r="A497" s="238" t="s">
        <v>846</v>
      </c>
      <c r="B497" s="207" t="s">
        <v>704</v>
      </c>
      <c r="C497" s="239">
        <v>20</v>
      </c>
      <c r="D497" s="240">
        <v>658.12800000000004</v>
      </c>
      <c r="E497" s="240">
        <f t="shared" si="28"/>
        <v>13162.560000000001</v>
      </c>
    </row>
    <row r="498" spans="1:5" ht="30">
      <c r="A498" s="238" t="s">
        <v>847</v>
      </c>
      <c r="B498" s="207" t="s">
        <v>704</v>
      </c>
      <c r="C498" s="239">
        <v>20</v>
      </c>
      <c r="D498" s="240">
        <v>136.04400000000001</v>
      </c>
      <c r="E498" s="240">
        <f t="shared" si="28"/>
        <v>2720.88</v>
      </c>
    </row>
    <row r="499" spans="1:5" ht="90">
      <c r="A499" s="238" t="s">
        <v>848</v>
      </c>
      <c r="B499" s="207" t="s">
        <v>610</v>
      </c>
      <c r="C499" s="239">
        <v>1</v>
      </c>
      <c r="D499" s="240">
        <v>10035.9</v>
      </c>
      <c r="E499" s="240">
        <f t="shared" si="28"/>
        <v>10035.9</v>
      </c>
    </row>
    <row r="500" spans="1:5">
      <c r="A500" s="509" t="s">
        <v>849</v>
      </c>
      <c r="B500" s="510"/>
      <c r="C500" s="510"/>
      <c r="D500" s="510"/>
      <c r="E500" s="511"/>
    </row>
    <row r="501" spans="1:5" ht="60">
      <c r="A501" s="238" t="s">
        <v>850</v>
      </c>
      <c r="B501" s="207" t="s">
        <v>755</v>
      </c>
      <c r="C501" s="239">
        <v>224.45</v>
      </c>
      <c r="D501" s="240">
        <v>3294.4199999999996</v>
      </c>
      <c r="E501" s="240">
        <f t="shared" si="28"/>
        <v>739432.5689999999</v>
      </c>
    </row>
    <row r="502" spans="1:5">
      <c r="A502" s="238" t="s">
        <v>851</v>
      </c>
      <c r="B502" s="207" t="s">
        <v>610</v>
      </c>
      <c r="C502" s="239">
        <v>6</v>
      </c>
      <c r="D502" s="240">
        <v>8082.48</v>
      </c>
      <c r="E502" s="240">
        <f t="shared" si="28"/>
        <v>48494.879999999997</v>
      </c>
    </row>
    <row r="503" spans="1:5" ht="30">
      <c r="A503" s="238" t="s">
        <v>852</v>
      </c>
      <c r="B503" s="207" t="s">
        <v>853</v>
      </c>
      <c r="C503" s="239">
        <v>55</v>
      </c>
      <c r="D503" s="240">
        <v>450.47999999999996</v>
      </c>
      <c r="E503" s="240">
        <f t="shared" si="28"/>
        <v>24776.399999999998</v>
      </c>
    </row>
    <row r="504" spans="1:5" ht="30">
      <c r="A504" s="238" t="s">
        <v>854</v>
      </c>
      <c r="B504" s="207" t="s">
        <v>853</v>
      </c>
      <c r="C504" s="239">
        <v>33</v>
      </c>
      <c r="D504" s="240">
        <v>574.35599999999999</v>
      </c>
      <c r="E504" s="240">
        <f t="shared" si="28"/>
        <v>18953.748</v>
      </c>
    </row>
    <row r="505" spans="1:5" ht="45">
      <c r="A505" s="238" t="s">
        <v>855</v>
      </c>
      <c r="B505" s="207" t="s">
        <v>853</v>
      </c>
      <c r="C505" s="239">
        <v>119.09</v>
      </c>
      <c r="D505" s="240">
        <v>1470</v>
      </c>
      <c r="E505" s="240">
        <f t="shared" si="28"/>
        <v>175062.30000000002</v>
      </c>
    </row>
    <row r="506" spans="1:5" ht="90">
      <c r="A506" s="238" t="s">
        <v>856</v>
      </c>
      <c r="B506" s="207" t="s">
        <v>610</v>
      </c>
      <c r="C506" s="239">
        <v>18</v>
      </c>
      <c r="D506" s="240">
        <v>21424.799999999999</v>
      </c>
      <c r="E506" s="240">
        <f t="shared" si="28"/>
        <v>385646.39999999997</v>
      </c>
    </row>
    <row r="507" spans="1:5" ht="45">
      <c r="A507" s="238" t="s">
        <v>857</v>
      </c>
      <c r="B507" s="207" t="s">
        <v>853</v>
      </c>
      <c r="C507" s="239">
        <v>190.54</v>
      </c>
      <c r="D507" s="240">
        <v>2985.23</v>
      </c>
      <c r="E507" s="240">
        <f t="shared" si="28"/>
        <v>568805.72419999994</v>
      </c>
    </row>
    <row r="508" spans="1:5" ht="45">
      <c r="A508" s="238" t="s">
        <v>858</v>
      </c>
      <c r="B508" s="207" t="s">
        <v>853</v>
      </c>
      <c r="C508" s="239">
        <v>125.59</v>
      </c>
      <c r="D508" s="240">
        <v>2975.2</v>
      </c>
      <c r="E508" s="240">
        <f t="shared" si="28"/>
        <v>373655.36799999996</v>
      </c>
    </row>
    <row r="509" spans="1:5" ht="45">
      <c r="A509" s="238" t="s">
        <v>859</v>
      </c>
      <c r="B509" s="207" t="s">
        <v>853</v>
      </c>
      <c r="C509" s="239">
        <v>239.99</v>
      </c>
      <c r="D509" s="240">
        <v>4149.8999999999996</v>
      </c>
      <c r="E509" s="240">
        <f t="shared" si="28"/>
        <v>995934.50099999993</v>
      </c>
    </row>
    <row r="510" spans="1:5" ht="60">
      <c r="A510" s="238" t="s">
        <v>860</v>
      </c>
      <c r="B510" s="207" t="s">
        <v>610</v>
      </c>
      <c r="C510" s="239">
        <v>24</v>
      </c>
      <c r="D510" s="240">
        <v>69468.78</v>
      </c>
      <c r="E510" s="240">
        <f t="shared" si="28"/>
        <v>1667250.72</v>
      </c>
    </row>
    <row r="511" spans="1:5" ht="60">
      <c r="A511" s="238" t="s">
        <v>861</v>
      </c>
      <c r="B511" s="207" t="s">
        <v>853</v>
      </c>
      <c r="C511" s="239">
        <v>301.82</v>
      </c>
      <c r="D511" s="240">
        <v>200.71199999999999</v>
      </c>
      <c r="E511" s="240">
        <f t="shared" si="28"/>
        <v>60578.895839999997</v>
      </c>
    </row>
    <row r="512" spans="1:5" ht="60">
      <c r="A512" s="238" t="s">
        <v>862</v>
      </c>
      <c r="B512" s="207" t="s">
        <v>853</v>
      </c>
      <c r="C512" s="239">
        <v>144.857</v>
      </c>
      <c r="D512" s="240">
        <v>325.24</v>
      </c>
      <c r="E512" s="240">
        <f t="shared" si="28"/>
        <v>47113.290679999998</v>
      </c>
    </row>
    <row r="513" spans="1:5" ht="90">
      <c r="A513" s="238" t="s">
        <v>863</v>
      </c>
      <c r="B513" s="207" t="s">
        <v>853</v>
      </c>
      <c r="C513" s="239">
        <v>538.97</v>
      </c>
      <c r="D513" s="240">
        <v>412.59599999999995</v>
      </c>
      <c r="E513" s="240">
        <f t="shared" si="28"/>
        <v>222376.86611999999</v>
      </c>
    </row>
    <row r="514" spans="1:5" ht="75">
      <c r="A514" s="238" t="s">
        <v>864</v>
      </c>
      <c r="B514" s="207" t="s">
        <v>755</v>
      </c>
      <c r="C514" s="239">
        <v>286</v>
      </c>
      <c r="D514" s="240">
        <v>3582.7679999999996</v>
      </c>
      <c r="E514" s="240">
        <f t="shared" si="28"/>
        <v>1024671.6479999999</v>
      </c>
    </row>
    <row r="515" spans="1:5" ht="30">
      <c r="A515" s="238" t="s">
        <v>865</v>
      </c>
      <c r="B515" s="207" t="s">
        <v>853</v>
      </c>
      <c r="C515" s="239">
        <v>163.56</v>
      </c>
      <c r="D515" s="240">
        <v>1170.864</v>
      </c>
      <c r="E515" s="240">
        <f t="shared" si="28"/>
        <v>191506.51584000001</v>
      </c>
    </row>
    <row r="516" spans="1:5" ht="45">
      <c r="A516" s="238" t="s">
        <v>866</v>
      </c>
      <c r="B516" s="207" t="s">
        <v>853</v>
      </c>
      <c r="C516" s="239">
        <v>15.31</v>
      </c>
      <c r="D516" s="240">
        <v>1170.864</v>
      </c>
      <c r="E516" s="240">
        <f t="shared" si="28"/>
        <v>17925.92784</v>
      </c>
    </row>
    <row r="517" spans="1:5" ht="45">
      <c r="A517" s="238" t="s">
        <v>867</v>
      </c>
      <c r="B517" s="207" t="s">
        <v>853</v>
      </c>
      <c r="C517" s="239">
        <v>20.83</v>
      </c>
      <c r="D517" s="240">
        <v>1003.596</v>
      </c>
      <c r="E517" s="240">
        <f t="shared" si="28"/>
        <v>20904.90468</v>
      </c>
    </row>
    <row r="518" spans="1:5" ht="45">
      <c r="A518" s="238" t="s">
        <v>868</v>
      </c>
      <c r="B518" s="207" t="s">
        <v>853</v>
      </c>
      <c r="C518" s="239">
        <v>20.83</v>
      </c>
      <c r="D518" s="240">
        <v>1300.9560000000001</v>
      </c>
      <c r="E518" s="240">
        <f t="shared" si="28"/>
        <v>27098.913479999999</v>
      </c>
    </row>
    <row r="519" spans="1:5">
      <c r="A519" s="509" t="s">
        <v>869</v>
      </c>
      <c r="B519" s="510"/>
      <c r="C519" s="510"/>
      <c r="D519" s="510"/>
      <c r="E519" s="511"/>
    </row>
    <row r="520" spans="1:5" ht="45">
      <c r="A520" s="238" t="s">
        <v>870</v>
      </c>
      <c r="B520" s="207" t="s">
        <v>610</v>
      </c>
      <c r="C520" s="239">
        <v>2</v>
      </c>
      <c r="D520" s="240">
        <v>163008</v>
      </c>
      <c r="E520" s="240">
        <f t="shared" si="28"/>
        <v>326016</v>
      </c>
    </row>
    <row r="521" spans="1:5" ht="30">
      <c r="A521" s="238" t="s">
        <v>871</v>
      </c>
      <c r="B521" s="207" t="s">
        <v>610</v>
      </c>
      <c r="C521" s="239">
        <v>2</v>
      </c>
      <c r="D521" s="240">
        <v>94200</v>
      </c>
      <c r="E521" s="240">
        <f t="shared" si="28"/>
        <v>188400</v>
      </c>
    </row>
    <row r="522" spans="1:5">
      <c r="A522" s="238" t="s">
        <v>872</v>
      </c>
      <c r="B522" s="207" t="s">
        <v>610</v>
      </c>
      <c r="C522" s="239">
        <v>2</v>
      </c>
      <c r="D522" s="240">
        <v>21048</v>
      </c>
      <c r="E522" s="240">
        <f t="shared" si="28"/>
        <v>42096</v>
      </c>
    </row>
    <row r="523" spans="1:5">
      <c r="A523" s="509" t="s">
        <v>873</v>
      </c>
      <c r="B523" s="510"/>
      <c r="C523" s="510"/>
      <c r="D523" s="510"/>
      <c r="E523" s="511"/>
    </row>
    <row r="524" spans="1:5" ht="45">
      <c r="A524" s="238" t="s">
        <v>874</v>
      </c>
      <c r="B524" s="207" t="s">
        <v>755</v>
      </c>
      <c r="C524" s="239">
        <v>9.6</v>
      </c>
      <c r="D524" s="240">
        <v>8001.7919999999995</v>
      </c>
      <c r="E524" s="240">
        <f t="shared" ref="E524:E528" si="29">+D524*C524</f>
        <v>76817.203199999989</v>
      </c>
    </row>
    <row r="525" spans="1:5">
      <c r="A525" s="509" t="s">
        <v>875</v>
      </c>
      <c r="B525" s="510"/>
      <c r="C525" s="510"/>
      <c r="D525" s="510"/>
      <c r="E525" s="511"/>
    </row>
    <row r="526" spans="1:5">
      <c r="A526" s="238" t="s">
        <v>876</v>
      </c>
      <c r="B526" s="207" t="s">
        <v>755</v>
      </c>
      <c r="C526" s="239">
        <v>20.8</v>
      </c>
      <c r="D526" s="240">
        <v>2214.3599999999997</v>
      </c>
      <c r="E526" s="240">
        <f t="shared" si="29"/>
        <v>46058.687999999995</v>
      </c>
    </row>
    <row r="527" spans="1:5">
      <c r="A527" s="509" t="s">
        <v>877</v>
      </c>
      <c r="B527" s="510"/>
      <c r="C527" s="510"/>
      <c r="D527" s="510"/>
      <c r="E527" s="511"/>
    </row>
    <row r="528" spans="1:5" ht="30">
      <c r="A528" s="238" t="s">
        <v>878</v>
      </c>
      <c r="B528" s="207" t="s">
        <v>610</v>
      </c>
      <c r="C528" s="239">
        <v>1</v>
      </c>
      <c r="D528" s="240">
        <v>2941902</v>
      </c>
      <c r="E528" s="240">
        <f t="shared" si="29"/>
        <v>2941902</v>
      </c>
    </row>
    <row r="529" spans="1:5">
      <c r="A529" s="238" t="s">
        <v>692</v>
      </c>
      <c r="B529" s="207" t="s">
        <v>693</v>
      </c>
      <c r="C529" s="239">
        <v>1</v>
      </c>
      <c r="D529" s="240">
        <v>3901981.8925306397</v>
      </c>
      <c r="E529" s="240">
        <f>+D529*C529</f>
        <v>3901981.8925306397</v>
      </c>
    </row>
    <row r="530" spans="1:5">
      <c r="A530" s="515" t="s">
        <v>143</v>
      </c>
      <c r="B530" s="515"/>
      <c r="C530" s="515"/>
      <c r="D530" s="515"/>
      <c r="E530" s="249">
        <f>+SUM(E529,E528,E526,E524,E520:E522,E501:E518,E490:E499,E483:E488,E478:E481,E476,E470:E474,E465:E468,E459:E463)</f>
        <v>19264115.327690654</v>
      </c>
    </row>
    <row r="531" spans="1:5">
      <c r="B531" s="216"/>
    </row>
    <row r="532" spans="1:5">
      <c r="B532" s="216"/>
    </row>
    <row r="533" spans="1:5" ht="18.75">
      <c r="A533" s="391" t="s">
        <v>137</v>
      </c>
      <c r="B533" s="391"/>
      <c r="C533" s="391"/>
      <c r="D533" s="391"/>
      <c r="E533" s="391"/>
    </row>
    <row r="534" spans="1:5" ht="18.75">
      <c r="A534" s="512" t="s">
        <v>879</v>
      </c>
      <c r="B534" s="513"/>
      <c r="C534" s="513"/>
      <c r="D534" s="513"/>
      <c r="E534" s="514"/>
    </row>
    <row r="535" spans="1:5">
      <c r="A535" s="217" t="s">
        <v>138</v>
      </c>
      <c r="B535" s="217" t="s">
        <v>139</v>
      </c>
      <c r="C535" s="217" t="s">
        <v>140</v>
      </c>
      <c r="D535" s="217" t="s">
        <v>141</v>
      </c>
      <c r="E535" s="217" t="s">
        <v>142</v>
      </c>
    </row>
    <row r="536" spans="1:5" ht="30">
      <c r="A536" s="238" t="s">
        <v>880</v>
      </c>
      <c r="B536" s="207" t="s">
        <v>693</v>
      </c>
      <c r="C536" s="239">
        <v>1</v>
      </c>
      <c r="D536" s="240">
        <v>285777361.27999997</v>
      </c>
      <c r="E536" s="240">
        <f>+D536*C536</f>
        <v>285777361.27999997</v>
      </c>
    </row>
    <row r="537" spans="1:5" ht="60">
      <c r="A537" s="238" t="s">
        <v>881</v>
      </c>
      <c r="B537" s="207" t="s">
        <v>693</v>
      </c>
      <c r="C537" s="239">
        <v>1</v>
      </c>
      <c r="D537" s="240">
        <v>11095620.74</v>
      </c>
      <c r="E537" s="240">
        <f t="shared" ref="E537:E538" si="30">+D537*C537</f>
        <v>11095620.74</v>
      </c>
    </row>
    <row r="538" spans="1:5" ht="45">
      <c r="A538" s="238" t="s">
        <v>882</v>
      </c>
      <c r="B538" s="207" t="s">
        <v>693</v>
      </c>
      <c r="C538" s="239">
        <v>1</v>
      </c>
      <c r="D538" s="240">
        <v>26148820.620000001</v>
      </c>
      <c r="E538" s="240">
        <f t="shared" si="30"/>
        <v>26148820.620000001</v>
      </c>
    </row>
    <row r="539" spans="1:5">
      <c r="A539" s="515" t="s">
        <v>143</v>
      </c>
      <c r="B539" s="515"/>
      <c r="C539" s="515"/>
      <c r="D539" s="515"/>
      <c r="E539" s="249">
        <f>+SUM(E536:E538)</f>
        <v>323021802.63999999</v>
      </c>
    </row>
    <row r="540" spans="1:5">
      <c r="B540" s="216"/>
    </row>
    <row r="541" spans="1:5">
      <c r="B541" s="216"/>
    </row>
    <row r="542" spans="1:5" ht="18.75">
      <c r="A542" s="391" t="s">
        <v>137</v>
      </c>
      <c r="B542" s="391"/>
      <c r="C542" s="391"/>
      <c r="D542" s="391"/>
      <c r="E542" s="391"/>
    </row>
    <row r="543" spans="1:5" ht="18.75">
      <c r="A543" s="512" t="s">
        <v>948</v>
      </c>
      <c r="B543" s="513"/>
      <c r="C543" s="513"/>
      <c r="D543" s="513"/>
      <c r="E543" s="514"/>
    </row>
    <row r="544" spans="1:5">
      <c r="A544" s="217" t="s">
        <v>138</v>
      </c>
      <c r="B544" s="217" t="s">
        <v>139</v>
      </c>
      <c r="C544" s="217" t="s">
        <v>140</v>
      </c>
      <c r="D544" s="217" t="s">
        <v>141</v>
      </c>
      <c r="E544" s="217" t="s">
        <v>142</v>
      </c>
    </row>
    <row r="545" spans="1:5">
      <c r="A545" s="238" t="s">
        <v>776</v>
      </c>
      <c r="B545" s="207" t="s">
        <v>693</v>
      </c>
      <c r="C545" s="239">
        <v>1</v>
      </c>
      <c r="D545" s="240">
        <f>6945135.49/2</f>
        <v>3472567.7450000001</v>
      </c>
      <c r="E545" s="240">
        <f>+D545*C545</f>
        <v>3472567.7450000001</v>
      </c>
    </row>
    <row r="546" spans="1:5">
      <c r="A546" s="238" t="s">
        <v>777</v>
      </c>
      <c r="B546" s="207" t="s">
        <v>693</v>
      </c>
      <c r="C546" s="239">
        <v>1</v>
      </c>
      <c r="D546" s="240">
        <v>778000</v>
      </c>
      <c r="E546" s="240">
        <f t="shared" ref="E546:E556" si="31">+D546*C546</f>
        <v>778000</v>
      </c>
    </row>
    <row r="547" spans="1:5">
      <c r="A547" s="238" t="s">
        <v>694</v>
      </c>
      <c r="B547" s="207" t="s">
        <v>693</v>
      </c>
      <c r="C547" s="239">
        <v>1</v>
      </c>
      <c r="D547" s="240">
        <v>23124298.41</v>
      </c>
      <c r="E547" s="240">
        <f t="shared" si="31"/>
        <v>23124298.41</v>
      </c>
    </row>
    <row r="548" spans="1:5" ht="90">
      <c r="A548" s="238" t="s">
        <v>778</v>
      </c>
      <c r="B548" s="207" t="s">
        <v>693</v>
      </c>
      <c r="C548" s="239">
        <v>1</v>
      </c>
      <c r="D548" s="240">
        <f>63247139.03/2</f>
        <v>31623569.515000001</v>
      </c>
      <c r="E548" s="240">
        <f t="shared" si="31"/>
        <v>31623569.515000001</v>
      </c>
    </row>
    <row r="549" spans="1:5" ht="30">
      <c r="A549" s="238" t="s">
        <v>779</v>
      </c>
      <c r="B549" s="207" t="s">
        <v>693</v>
      </c>
      <c r="C549" s="239">
        <v>1</v>
      </c>
      <c r="D549" s="240">
        <f>+(513767.95+7114.58+33376.24+13885.89)+((51873.92+169310.74+176184+30357.2+41497.61)/2)</f>
        <v>802756.39500000002</v>
      </c>
      <c r="E549" s="240">
        <f t="shared" si="31"/>
        <v>802756.39500000002</v>
      </c>
    </row>
    <row r="550" spans="1:5" ht="30">
      <c r="A550" s="238" t="s">
        <v>780</v>
      </c>
      <c r="B550" s="207" t="s">
        <v>693</v>
      </c>
      <c r="C550" s="239">
        <v>1</v>
      </c>
      <c r="D550" s="240">
        <f>+(249677.67+10085.15+57162.56+5167.23)+((12570.93+156652.75+170326.57+26026.46+23296.9)/2)</f>
        <v>516529.41500000004</v>
      </c>
      <c r="E550" s="240">
        <f t="shared" si="31"/>
        <v>516529.41500000004</v>
      </c>
    </row>
    <row r="551" spans="1:5" ht="60">
      <c r="A551" s="238" t="s">
        <v>781</v>
      </c>
      <c r="B551" s="207" t="s">
        <v>693</v>
      </c>
      <c r="C551" s="239">
        <v>1</v>
      </c>
      <c r="D551" s="240">
        <v>443072.46</v>
      </c>
      <c r="E551" s="240">
        <f t="shared" si="31"/>
        <v>443072.46</v>
      </c>
    </row>
    <row r="552" spans="1:5">
      <c r="A552" s="238" t="s">
        <v>782</v>
      </c>
      <c r="B552" s="207" t="s">
        <v>693</v>
      </c>
      <c r="C552" s="239">
        <v>1</v>
      </c>
      <c r="D552" s="240">
        <v>688914</v>
      </c>
      <c r="E552" s="240">
        <f t="shared" si="31"/>
        <v>688914</v>
      </c>
    </row>
    <row r="553" spans="1:5">
      <c r="A553" s="238" t="s">
        <v>783</v>
      </c>
      <c r="B553" s="207" t="s">
        <v>693</v>
      </c>
      <c r="C553" s="239">
        <v>1</v>
      </c>
      <c r="D553" s="240">
        <v>591396</v>
      </c>
      <c r="E553" s="240">
        <f t="shared" si="31"/>
        <v>591396</v>
      </c>
    </row>
    <row r="554" spans="1:5">
      <c r="A554" s="238" t="s">
        <v>784</v>
      </c>
      <c r="B554" s="207" t="s">
        <v>693</v>
      </c>
      <c r="C554" s="239">
        <v>1</v>
      </c>
      <c r="D554" s="240">
        <v>196128.25</v>
      </c>
      <c r="E554" s="240">
        <f t="shared" si="31"/>
        <v>196128.25</v>
      </c>
    </row>
    <row r="555" spans="1:5">
      <c r="A555" s="238" t="s">
        <v>785</v>
      </c>
      <c r="B555" s="207" t="s">
        <v>693</v>
      </c>
      <c r="C555" s="239">
        <v>1</v>
      </c>
      <c r="D555" s="240">
        <v>106420.8</v>
      </c>
      <c r="E555" s="240">
        <f t="shared" si="31"/>
        <v>106420.8</v>
      </c>
    </row>
    <row r="556" spans="1:5" ht="45">
      <c r="A556" s="238" t="s">
        <v>786</v>
      </c>
      <c r="B556" s="207" t="s">
        <v>693</v>
      </c>
      <c r="C556" s="239">
        <v>1</v>
      </c>
      <c r="D556" s="240">
        <f>662344.8/2</f>
        <v>331172.40000000002</v>
      </c>
      <c r="E556" s="240">
        <f t="shared" si="31"/>
        <v>331172.40000000002</v>
      </c>
    </row>
    <row r="557" spans="1:5">
      <c r="A557" s="238" t="s">
        <v>692</v>
      </c>
      <c r="B557" s="207" t="s">
        <v>693</v>
      </c>
      <c r="C557" s="239">
        <v>1</v>
      </c>
      <c r="D557" s="240">
        <v>23497881.988030348</v>
      </c>
      <c r="E557" s="240">
        <f>+D557*C557</f>
        <v>23497881.988030348</v>
      </c>
    </row>
    <row r="558" spans="1:5">
      <c r="A558" s="515" t="s">
        <v>143</v>
      </c>
      <c r="B558" s="515"/>
      <c r="C558" s="515"/>
      <c r="D558" s="515"/>
      <c r="E558" s="249">
        <f>+SUM(E545:E557)</f>
        <v>86172707.378030345</v>
      </c>
    </row>
    <row r="559" spans="1:5">
      <c r="B559" s="216"/>
    </row>
    <row r="560" spans="1:5" ht="18.75">
      <c r="A560" s="391" t="s">
        <v>137</v>
      </c>
      <c r="B560" s="391"/>
      <c r="C560" s="391"/>
      <c r="D560" s="391"/>
      <c r="E560" s="391"/>
    </row>
    <row r="561" spans="1:5" ht="18.75">
      <c r="A561" s="512" t="s">
        <v>949</v>
      </c>
      <c r="B561" s="513"/>
      <c r="C561" s="513"/>
      <c r="D561" s="513"/>
      <c r="E561" s="514"/>
    </row>
    <row r="562" spans="1:5">
      <c r="A562" s="217" t="s">
        <v>138</v>
      </c>
      <c r="B562" s="217" t="s">
        <v>139</v>
      </c>
      <c r="C562" s="217" t="s">
        <v>140</v>
      </c>
      <c r="D562" s="217" t="s">
        <v>141</v>
      </c>
      <c r="E562" s="217" t="s">
        <v>142</v>
      </c>
    </row>
    <row r="563" spans="1:5" ht="45">
      <c r="A563" s="238" t="s">
        <v>950</v>
      </c>
      <c r="B563" s="207" t="s">
        <v>693</v>
      </c>
      <c r="C563" s="239">
        <v>1</v>
      </c>
      <c r="D563" s="240">
        <f>16763051.19+26552699.18</f>
        <v>43315750.369999997</v>
      </c>
      <c r="E563" s="240">
        <f>+D563*C563</f>
        <v>43315750.369999997</v>
      </c>
    </row>
    <row r="564" spans="1:5">
      <c r="A564" s="515" t="s">
        <v>143</v>
      </c>
      <c r="B564" s="515"/>
      <c r="C564" s="515"/>
      <c r="D564" s="515"/>
      <c r="E564" s="241">
        <f>+E563</f>
        <v>43315750.369999997</v>
      </c>
    </row>
  </sheetData>
  <mergeCells count="109">
    <mergeCell ref="A558:D558"/>
    <mergeCell ref="A560:E560"/>
    <mergeCell ref="A561:E561"/>
    <mergeCell ref="A564:D564"/>
    <mergeCell ref="A464:E464"/>
    <mergeCell ref="A469:E469"/>
    <mergeCell ref="A475:E475"/>
    <mergeCell ref="A477:E477"/>
    <mergeCell ref="A482:E482"/>
    <mergeCell ref="A530:D530"/>
    <mergeCell ref="A533:E533"/>
    <mergeCell ref="A534:E534"/>
    <mergeCell ref="A539:D539"/>
    <mergeCell ref="A542:E542"/>
    <mergeCell ref="A543:E543"/>
    <mergeCell ref="A519:E519"/>
    <mergeCell ref="A527:E527"/>
    <mergeCell ref="A523:E523"/>
    <mergeCell ref="A525:E525"/>
    <mergeCell ref="A500:E500"/>
    <mergeCell ref="A489:E489"/>
    <mergeCell ref="A445:E445"/>
    <mergeCell ref="A448:E448"/>
    <mergeCell ref="A452:D452"/>
    <mergeCell ref="A422:D422"/>
    <mergeCell ref="A426:E426"/>
    <mergeCell ref="A427:E427"/>
    <mergeCell ref="A429:E429"/>
    <mergeCell ref="A435:E435"/>
    <mergeCell ref="A433:E433"/>
    <mergeCell ref="A160:D160"/>
    <mergeCell ref="A91:D91"/>
    <mergeCell ref="A94:E94"/>
    <mergeCell ref="A95:E95"/>
    <mergeCell ref="A97:E97"/>
    <mergeCell ref="A126:D126"/>
    <mergeCell ref="A259:D259"/>
    <mergeCell ref="A262:E262"/>
    <mergeCell ref="A263:E263"/>
    <mergeCell ref="A166:E166"/>
    <mergeCell ref="A188:E188"/>
    <mergeCell ref="A196:D196"/>
    <mergeCell ref="A199:E199"/>
    <mergeCell ref="A200:E200"/>
    <mergeCell ref="A202:E202"/>
    <mergeCell ref="A208:E208"/>
    <mergeCell ref="A458:E458"/>
    <mergeCell ref="A455:E455"/>
    <mergeCell ref="A456:E456"/>
    <mergeCell ref="A403:E403"/>
    <mergeCell ref="A408:E408"/>
    <mergeCell ref="A354:E354"/>
    <mergeCell ref="A367:E367"/>
    <mergeCell ref="A373:D373"/>
    <mergeCell ref="A335:E335"/>
    <mergeCell ref="A343:D343"/>
    <mergeCell ref="A346:E346"/>
    <mergeCell ref="A347:E347"/>
    <mergeCell ref="A349:E349"/>
    <mergeCell ref="A376:E376"/>
    <mergeCell ref="A377:E377"/>
    <mergeCell ref="A379:E379"/>
    <mergeCell ref="A417:E417"/>
    <mergeCell ref="A384:E384"/>
    <mergeCell ref="A392:E392"/>
    <mergeCell ref="A397:D397"/>
    <mergeCell ref="A400:E400"/>
    <mergeCell ref="A401:E401"/>
    <mergeCell ref="A440:E440"/>
    <mergeCell ref="A442:E442"/>
    <mergeCell ref="A324:E324"/>
    <mergeCell ref="A316:E316"/>
    <mergeCell ref="A313:D313"/>
    <mergeCell ref="A317:E317"/>
    <mergeCell ref="A319:E319"/>
    <mergeCell ref="A271:E271"/>
    <mergeCell ref="A248:E248"/>
    <mergeCell ref="A216:E216"/>
    <mergeCell ref="A224:D224"/>
    <mergeCell ref="A227:E227"/>
    <mergeCell ref="A228:E228"/>
    <mergeCell ref="A230:E230"/>
    <mergeCell ref="A237:E237"/>
    <mergeCell ref="A265:E265"/>
    <mergeCell ref="A303:E303"/>
    <mergeCell ref="A50:E50"/>
    <mergeCell ref="A60:E60"/>
    <mergeCell ref="A51:E51"/>
    <mergeCell ref="A54:D54"/>
    <mergeCell ref="A57:E57"/>
    <mergeCell ref="A3:E3"/>
    <mergeCell ref="A58:E58"/>
    <mergeCell ref="A103:E103"/>
    <mergeCell ref="A172:E172"/>
    <mergeCell ref="A163:E163"/>
    <mergeCell ref="A164:E164"/>
    <mergeCell ref="A138:E138"/>
    <mergeCell ref="A115:E115"/>
    <mergeCell ref="A83:E83"/>
    <mergeCell ref="A67:E67"/>
    <mergeCell ref="A4:E4"/>
    <mergeCell ref="A6:E6"/>
    <mergeCell ref="A25:E25"/>
    <mergeCell ref="A35:E35"/>
    <mergeCell ref="A47:D47"/>
    <mergeCell ref="A129:E129"/>
    <mergeCell ref="A130:E130"/>
    <mergeCell ref="A132:E132"/>
    <mergeCell ref="A151:E1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8"/>
  <sheetViews>
    <sheetView zoomScale="87" zoomScaleNormal="87" workbookViewId="0">
      <selection activeCell="A8" sqref="A8:A12"/>
    </sheetView>
  </sheetViews>
  <sheetFormatPr baseColWidth="10" defaultColWidth="11.42578125" defaultRowHeight="15"/>
  <cols>
    <col min="1" max="1" width="40.85546875" customWidth="1"/>
    <col min="2" max="2" width="70.140625" customWidth="1"/>
    <col min="4" max="4" width="57.85546875" customWidth="1"/>
    <col min="5" max="5" width="43.140625" hidden="1" customWidth="1"/>
  </cols>
  <sheetData>
    <row r="1" spans="1:5" ht="11.25" customHeight="1"/>
    <row r="2" spans="1:5" ht="18.75">
      <c r="A2" s="308" t="s">
        <v>5</v>
      </c>
      <c r="B2" s="308"/>
    </row>
    <row r="3" spans="1:5">
      <c r="A3" s="2" t="s">
        <v>6</v>
      </c>
      <c r="B3" s="2" t="s">
        <v>7</v>
      </c>
      <c r="D3" s="314"/>
      <c r="E3" s="314"/>
    </row>
    <row r="4" spans="1:5" ht="111" customHeight="1">
      <c r="A4" s="56" t="s">
        <v>170</v>
      </c>
      <c r="B4" s="57" t="s">
        <v>569</v>
      </c>
      <c r="D4" s="312"/>
      <c r="E4" s="313"/>
    </row>
    <row r="5" spans="1:5" ht="116.25" customHeight="1">
      <c r="A5" s="55" t="s">
        <v>171</v>
      </c>
      <c r="B5" s="57" t="s">
        <v>172</v>
      </c>
      <c r="D5" s="36"/>
      <c r="E5" s="36"/>
    </row>
    <row r="6" spans="1:5" ht="66.75" customHeight="1">
      <c r="A6" s="55" t="s">
        <v>173</v>
      </c>
      <c r="B6" s="57" t="s">
        <v>174</v>
      </c>
      <c r="D6" s="36"/>
      <c r="E6" s="36"/>
    </row>
    <row r="7" spans="1:5" ht="88.5" customHeight="1">
      <c r="A7" s="55" t="s">
        <v>253</v>
      </c>
      <c r="B7" s="57" t="s">
        <v>254</v>
      </c>
      <c r="D7" s="36"/>
      <c r="E7" s="36"/>
    </row>
    <row r="8" spans="1:5" ht="142.5" customHeight="1">
      <c r="A8" s="309" t="s">
        <v>255</v>
      </c>
      <c r="B8" s="57" t="s">
        <v>256</v>
      </c>
    </row>
    <row r="9" spans="1:5" ht="62.25" hidden="1" customHeight="1">
      <c r="A9" s="310"/>
      <c r="B9" s="77"/>
    </row>
    <row r="10" spans="1:5" ht="15.75" hidden="1" customHeight="1">
      <c r="A10" s="310"/>
      <c r="B10" s="76"/>
    </row>
    <row r="11" spans="1:5" ht="1.5" hidden="1" customHeight="1">
      <c r="A11" s="310"/>
      <c r="B11" s="74"/>
    </row>
    <row r="12" spans="1:5" ht="103.5" hidden="1" customHeight="1">
      <c r="A12" s="311"/>
      <c r="B12" s="75"/>
    </row>
    <row r="13" spans="1:5" ht="109.5" customHeight="1">
      <c r="A13" s="55" t="s">
        <v>257</v>
      </c>
      <c r="B13" s="178" t="s">
        <v>570</v>
      </c>
      <c r="E13" s="32" t="s">
        <v>8</v>
      </c>
    </row>
    <row r="14" spans="1:5" ht="15.75">
      <c r="B14" s="35"/>
      <c r="E14" s="33"/>
    </row>
    <row r="15" spans="1:5">
      <c r="E15" s="34" t="s">
        <v>8</v>
      </c>
    </row>
    <row r="16" spans="1:5">
      <c r="E16" s="34" t="s">
        <v>8</v>
      </c>
    </row>
    <row r="17" spans="5:5">
      <c r="E17" s="34" t="s">
        <v>8</v>
      </c>
    </row>
    <row r="18" spans="5:5">
      <c r="E18" s="34" t="s">
        <v>8</v>
      </c>
    </row>
  </sheetData>
  <mergeCells count="4">
    <mergeCell ref="A2:B2"/>
    <mergeCell ref="A8:A12"/>
    <mergeCell ref="D4:E4"/>
    <mergeCell ref="D3:E3"/>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workbookViewId="0">
      <selection activeCell="E6" sqref="E6"/>
    </sheetView>
  </sheetViews>
  <sheetFormatPr baseColWidth="10" defaultColWidth="9.140625" defaultRowHeight="15"/>
  <cols>
    <col min="1" max="1" width="44.7109375" customWidth="1"/>
    <col min="2" max="2" width="40.7109375" customWidth="1"/>
  </cols>
  <sheetData>
    <row r="2" spans="1:2" ht="18.75">
      <c r="A2" s="391" t="s">
        <v>144</v>
      </c>
      <c r="B2" s="391"/>
    </row>
    <row r="3" spans="1:2" ht="50.1" customHeight="1">
      <c r="A3" s="23" t="s">
        <v>145</v>
      </c>
      <c r="B3" s="23" t="s">
        <v>146</v>
      </c>
    </row>
    <row r="4" spans="1:2" ht="50.1" customHeight="1">
      <c r="A4" s="24" t="s">
        <v>147</v>
      </c>
      <c r="B4" s="172" t="s">
        <v>555</v>
      </c>
    </row>
    <row r="5" spans="1:2" ht="50.1" customHeight="1">
      <c r="A5" s="19" t="s">
        <v>148</v>
      </c>
      <c r="B5" s="172" t="s">
        <v>566</v>
      </c>
    </row>
    <row r="6" spans="1:2" ht="58.5" customHeight="1">
      <c r="A6" s="19" t="s">
        <v>149</v>
      </c>
      <c r="B6" s="172" t="s">
        <v>567</v>
      </c>
    </row>
    <row r="7" spans="1:2" ht="87" customHeight="1">
      <c r="A7" s="19" t="s">
        <v>150</v>
      </c>
      <c r="B7" s="172" t="s">
        <v>568</v>
      </c>
    </row>
    <row r="8" spans="1:2" ht="50.1" customHeight="1">
      <c r="A8" s="27"/>
      <c r="B8" s="27"/>
    </row>
    <row r="9" spans="1:2" ht="50.1" customHeight="1">
      <c r="A9" s="27"/>
      <c r="B9" s="27"/>
    </row>
    <row r="10" spans="1:2" ht="50.1" customHeight="1">
      <c r="A10" s="27"/>
      <c r="B10" s="27"/>
    </row>
    <row r="11" spans="1:2" ht="50.1" customHeight="1">
      <c r="A11" s="27"/>
      <c r="B11" s="27"/>
    </row>
    <row r="12" spans="1:2" ht="50.1" customHeight="1">
      <c r="A12" s="27"/>
      <c r="B12" s="27"/>
    </row>
    <row r="13" spans="1:2" ht="50.1" customHeight="1">
      <c r="A13" s="27"/>
      <c r="B13" s="27"/>
    </row>
    <row r="14" spans="1:2" ht="50.1" customHeight="1">
      <c r="A14" s="27"/>
      <c r="B14" s="27"/>
    </row>
    <row r="17" spans="1:1">
      <c r="A17" s="9"/>
    </row>
  </sheetData>
  <mergeCells count="1">
    <mergeCell ref="A2:B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4"/>
  <sheetViews>
    <sheetView tabSelected="1" topLeftCell="A4" zoomScale="60" zoomScaleNormal="60" workbookViewId="0">
      <selection activeCell="C30" sqref="C30"/>
    </sheetView>
  </sheetViews>
  <sheetFormatPr baseColWidth="10" defaultColWidth="9.140625" defaultRowHeight="15"/>
  <cols>
    <col min="1" max="3" width="30.7109375" customWidth="1"/>
    <col min="4" max="12" width="15.7109375" customWidth="1"/>
    <col min="13" max="16" width="30.7109375" customWidth="1"/>
  </cols>
  <sheetData>
    <row r="3" spans="1:16" ht="18.75">
      <c r="A3" s="391" t="s">
        <v>151</v>
      </c>
      <c r="B3" s="391"/>
      <c r="C3" s="391"/>
      <c r="D3" s="391"/>
      <c r="E3" s="391"/>
      <c r="F3" s="391"/>
      <c r="G3" s="391"/>
      <c r="H3" s="391"/>
      <c r="I3" s="391"/>
      <c r="J3" s="391"/>
      <c r="K3" s="391"/>
      <c r="L3" s="391"/>
      <c r="M3" s="391"/>
      <c r="N3" s="391"/>
      <c r="O3" s="391"/>
      <c r="P3" s="391"/>
    </row>
    <row r="4" spans="1:16" ht="50.1" customHeight="1">
      <c r="A4" s="461" t="s">
        <v>102</v>
      </c>
      <c r="B4" s="461" t="s">
        <v>152</v>
      </c>
      <c r="C4" s="461" t="s">
        <v>103</v>
      </c>
      <c r="D4" s="23" t="s">
        <v>153</v>
      </c>
      <c r="E4" s="461" t="s">
        <v>154</v>
      </c>
      <c r="F4" s="461"/>
      <c r="G4" s="461"/>
      <c r="H4" s="461"/>
      <c r="I4" s="461" t="s">
        <v>155</v>
      </c>
      <c r="J4" s="461"/>
      <c r="K4" s="461"/>
      <c r="L4" s="461"/>
      <c r="M4" s="461" t="s">
        <v>156</v>
      </c>
      <c r="N4" s="461" t="s">
        <v>157</v>
      </c>
      <c r="O4" s="461" t="s">
        <v>106</v>
      </c>
      <c r="P4" s="461" t="s">
        <v>158</v>
      </c>
    </row>
    <row r="5" spans="1:16" ht="50.1" customHeight="1">
      <c r="A5" s="461"/>
      <c r="B5" s="461"/>
      <c r="C5" s="532"/>
      <c r="D5" s="88">
        <v>2024</v>
      </c>
      <c r="E5" s="23">
        <v>2025</v>
      </c>
      <c r="F5" s="23">
        <v>2026</v>
      </c>
      <c r="G5" s="23">
        <v>2027</v>
      </c>
      <c r="H5" s="23">
        <v>2028</v>
      </c>
      <c r="I5" s="210">
        <v>2025</v>
      </c>
      <c r="J5" s="210">
        <v>2026</v>
      </c>
      <c r="K5" s="210">
        <v>2027</v>
      </c>
      <c r="L5" s="210">
        <v>2028</v>
      </c>
      <c r="M5" s="461"/>
      <c r="N5" s="461"/>
      <c r="O5" s="461"/>
      <c r="P5" s="461"/>
    </row>
    <row r="6" spans="1:16" ht="58.5" customHeight="1">
      <c r="A6" s="251"/>
      <c r="B6" s="252" t="s">
        <v>446</v>
      </c>
      <c r="C6" s="253" t="s">
        <v>651</v>
      </c>
      <c r="D6" s="254">
        <v>402.92948795083311</v>
      </c>
      <c r="E6" s="255">
        <v>708.01878090165758</v>
      </c>
      <c r="F6" s="255">
        <v>322.34359036066644</v>
      </c>
      <c r="G6" s="255">
        <v>386.81230843279974</v>
      </c>
      <c r="H6" s="255">
        <v>443.22243674591647</v>
      </c>
      <c r="I6" s="256"/>
      <c r="J6" s="256"/>
      <c r="K6" s="256"/>
      <c r="L6" s="28"/>
      <c r="M6" s="28"/>
      <c r="N6" s="28"/>
      <c r="O6" s="29"/>
      <c r="P6" s="29"/>
    </row>
    <row r="7" spans="1:16" ht="58.5" customHeight="1">
      <c r="A7" s="251"/>
      <c r="B7" s="257" t="s">
        <v>446</v>
      </c>
      <c r="C7" s="258" t="s">
        <v>261</v>
      </c>
      <c r="D7" s="254">
        <v>0.4</v>
      </c>
      <c r="E7" s="259">
        <v>0.7080187809016576</v>
      </c>
      <c r="F7" s="259">
        <v>0.32234359036066645</v>
      </c>
      <c r="G7" s="259">
        <v>0.38681230843279973</v>
      </c>
      <c r="H7" s="259">
        <v>0.44322243674591649</v>
      </c>
      <c r="I7" s="256"/>
      <c r="J7" s="256"/>
      <c r="K7" s="256"/>
      <c r="L7" s="28"/>
      <c r="M7" s="28"/>
      <c r="N7" s="28"/>
      <c r="O7" s="29"/>
      <c r="P7" s="29"/>
    </row>
    <row r="8" spans="1:16" ht="63">
      <c r="A8" s="260"/>
      <c r="B8" s="261" t="s">
        <v>467</v>
      </c>
      <c r="C8" s="262" t="s">
        <v>652</v>
      </c>
      <c r="D8" s="263" t="s">
        <v>32</v>
      </c>
      <c r="E8" s="263" t="s">
        <v>32</v>
      </c>
      <c r="F8" s="263" t="s">
        <v>32</v>
      </c>
      <c r="G8" s="263" t="s">
        <v>32</v>
      </c>
      <c r="H8" s="263" t="s">
        <v>32</v>
      </c>
      <c r="I8" s="260"/>
      <c r="J8" s="260"/>
      <c r="K8" s="260"/>
      <c r="L8" s="20"/>
      <c r="M8" s="20"/>
      <c r="N8" s="20"/>
      <c r="O8" s="20"/>
      <c r="P8" s="20"/>
    </row>
    <row r="9" spans="1:16" ht="47.25">
      <c r="A9" s="260"/>
      <c r="B9" s="264" t="s">
        <v>494</v>
      </c>
      <c r="C9" s="262" t="s">
        <v>653</v>
      </c>
      <c r="D9" s="265">
        <v>1</v>
      </c>
      <c r="E9" s="265">
        <v>1</v>
      </c>
      <c r="F9" s="265">
        <v>1</v>
      </c>
      <c r="G9" s="265">
        <v>1</v>
      </c>
      <c r="H9" s="265">
        <v>1</v>
      </c>
      <c r="I9" s="260"/>
      <c r="J9" s="260"/>
      <c r="K9" s="260"/>
      <c r="L9" s="20"/>
      <c r="M9" s="20"/>
      <c r="N9" s="20"/>
      <c r="O9" s="20"/>
      <c r="P9" s="20"/>
    </row>
    <row r="10" spans="1:16" ht="61.5" customHeight="1">
      <c r="A10" s="260"/>
      <c r="B10" s="258" t="s">
        <v>552</v>
      </c>
      <c r="C10" s="266" t="s">
        <v>264</v>
      </c>
      <c r="D10" s="265">
        <v>0.11</v>
      </c>
      <c r="E10" s="265">
        <v>0.20173689258171773</v>
      </c>
      <c r="F10" s="265">
        <v>0.11</v>
      </c>
      <c r="G10" s="265">
        <v>0.11</v>
      </c>
      <c r="H10" s="265">
        <v>0.11</v>
      </c>
      <c r="I10" s="260"/>
      <c r="J10" s="260"/>
      <c r="K10" s="260"/>
      <c r="L10" s="20"/>
      <c r="M10" s="20"/>
      <c r="N10" s="20"/>
      <c r="O10" s="20"/>
      <c r="P10" s="20"/>
    </row>
    <row r="11" spans="1:16" ht="30.75" customHeight="1">
      <c r="A11" s="260"/>
      <c r="B11" s="264" t="s">
        <v>502</v>
      </c>
      <c r="C11" s="262" t="s">
        <v>658</v>
      </c>
      <c r="D11" s="265">
        <v>9.35E-2</v>
      </c>
      <c r="E11" s="265">
        <v>0.31177519762629097</v>
      </c>
      <c r="F11" s="265">
        <v>9.35E-2</v>
      </c>
      <c r="G11" s="265">
        <v>9.35E-2</v>
      </c>
      <c r="H11" s="265">
        <v>9.35E-2</v>
      </c>
      <c r="I11" s="260"/>
      <c r="J11" s="260"/>
      <c r="K11" s="260"/>
      <c r="L11" s="20"/>
      <c r="M11" s="20"/>
      <c r="N11" s="20"/>
      <c r="O11" s="20"/>
      <c r="P11" s="20"/>
    </row>
    <row r="12" spans="1:16" ht="47.25">
      <c r="A12" s="260"/>
      <c r="B12" s="264" t="s">
        <v>512</v>
      </c>
      <c r="C12" s="267" t="s">
        <v>654</v>
      </c>
      <c r="D12" s="265">
        <v>1</v>
      </c>
      <c r="E12" s="265">
        <v>1</v>
      </c>
      <c r="F12" s="265">
        <v>1</v>
      </c>
      <c r="G12" s="265">
        <v>1</v>
      </c>
      <c r="H12" s="265">
        <v>1</v>
      </c>
      <c r="I12" s="260"/>
      <c r="J12" s="260"/>
      <c r="K12" s="260"/>
      <c r="L12" s="20"/>
      <c r="M12" s="20"/>
      <c r="N12" s="20"/>
      <c r="O12" s="20"/>
      <c r="P12" s="20"/>
    </row>
    <row r="13" spans="1:16" ht="94.5">
      <c r="A13" s="260"/>
      <c r="B13" s="268" t="s">
        <v>659</v>
      </c>
      <c r="C13" s="266" t="s">
        <v>266</v>
      </c>
      <c r="D13" s="269">
        <v>0.51921787936656583</v>
      </c>
      <c r="E13" s="269">
        <v>0.52613097861025659</v>
      </c>
      <c r="F13" s="269">
        <v>0.5362562786102566</v>
      </c>
      <c r="G13" s="269">
        <v>0.55138157861025661</v>
      </c>
      <c r="H13" s="270">
        <v>0.5656068786102566</v>
      </c>
      <c r="I13" s="260"/>
      <c r="J13" s="260"/>
      <c r="K13" s="260"/>
      <c r="L13" s="20"/>
      <c r="M13" s="20"/>
      <c r="N13" s="20"/>
      <c r="O13" s="20"/>
      <c r="P13" s="20"/>
    </row>
    <row r="14" spans="1:16">
      <c r="A14" s="20"/>
      <c r="B14" s="20"/>
      <c r="C14" s="20"/>
      <c r="D14" s="20"/>
      <c r="E14" s="20"/>
      <c r="F14" s="20"/>
      <c r="G14" s="20"/>
      <c r="H14" s="20"/>
      <c r="I14" s="20"/>
      <c r="J14" s="20"/>
      <c r="K14" s="20"/>
      <c r="L14" s="20"/>
      <c r="M14" s="20"/>
      <c r="N14" s="20"/>
      <c r="O14" s="20"/>
      <c r="P14" s="20"/>
    </row>
  </sheetData>
  <mergeCells count="10">
    <mergeCell ref="N4:N5"/>
    <mergeCell ref="O4:O5"/>
    <mergeCell ref="P4:P5"/>
    <mergeCell ref="A3:P3"/>
    <mergeCell ref="A4:A5"/>
    <mergeCell ref="B4:B5"/>
    <mergeCell ref="C4:C5"/>
    <mergeCell ref="E4:H4"/>
    <mergeCell ref="I4:L4"/>
    <mergeCell ref="M4:M5"/>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43"/>
  <sheetViews>
    <sheetView workbookViewId="0">
      <selection activeCell="B4" sqref="B4"/>
    </sheetView>
  </sheetViews>
  <sheetFormatPr baseColWidth="10" defaultColWidth="9.140625" defaultRowHeight="15"/>
  <cols>
    <col min="1" max="1" width="30.7109375" customWidth="1"/>
    <col min="2" max="2" width="19" customWidth="1"/>
    <col min="3" max="3" width="23.7109375" customWidth="1"/>
    <col min="4" max="4" width="38.140625" customWidth="1"/>
    <col min="5" max="5" width="14.7109375" customWidth="1"/>
    <col min="6" max="6" width="19.85546875" customWidth="1"/>
  </cols>
  <sheetData>
    <row r="2" spans="1:6" ht="19.5" thickBot="1">
      <c r="A2" s="308" t="s">
        <v>9</v>
      </c>
      <c r="B2" s="308"/>
      <c r="C2" s="308"/>
      <c r="D2" s="308"/>
      <c r="E2" s="308"/>
      <c r="F2" s="308"/>
    </row>
    <row r="3" spans="1:6" ht="30">
      <c r="A3" s="16" t="s">
        <v>10</v>
      </c>
      <c r="B3" s="17" t="s">
        <v>11</v>
      </c>
      <c r="C3" s="175" t="s">
        <v>12</v>
      </c>
      <c r="D3" s="17" t="s">
        <v>13</v>
      </c>
      <c r="E3" s="17" t="s">
        <v>14</v>
      </c>
      <c r="F3" s="17" t="s">
        <v>15</v>
      </c>
    </row>
    <row r="4" spans="1:6" ht="105" customHeight="1">
      <c r="A4" s="319" t="s">
        <v>165</v>
      </c>
      <c r="B4" s="201" t="s">
        <v>166</v>
      </c>
      <c r="C4" s="200" t="s">
        <v>571</v>
      </c>
      <c r="D4" s="58" t="s">
        <v>167</v>
      </c>
      <c r="E4" s="54" t="s">
        <v>168</v>
      </c>
      <c r="F4" s="54" t="s">
        <v>169</v>
      </c>
    </row>
    <row r="5" spans="1:6" s="37" customFormat="1" ht="129" customHeight="1">
      <c r="A5" s="320"/>
      <c r="B5" s="62" t="s">
        <v>223</v>
      </c>
      <c r="C5" s="199" t="s">
        <v>571</v>
      </c>
      <c r="D5" s="58" t="s">
        <v>227</v>
      </c>
      <c r="E5" s="54" t="s">
        <v>229</v>
      </c>
      <c r="F5" s="54" t="s">
        <v>231</v>
      </c>
    </row>
    <row r="6" spans="1:6" ht="15" hidden="1" customHeight="1">
      <c r="A6" s="320"/>
      <c r="B6" s="60"/>
      <c r="C6" s="58"/>
      <c r="D6" s="58"/>
      <c r="E6" s="58"/>
      <c r="F6" s="58"/>
    </row>
    <row r="7" spans="1:6" ht="15" hidden="1" customHeight="1">
      <c r="A7" s="320"/>
      <c r="B7" s="60"/>
      <c r="C7" s="58"/>
      <c r="D7" s="58"/>
      <c r="E7" s="58"/>
      <c r="F7" s="58"/>
    </row>
    <row r="8" spans="1:6" ht="15" customHeight="1">
      <c r="A8" s="320"/>
      <c r="B8" s="339" t="s">
        <v>224</v>
      </c>
      <c r="C8" s="275" t="s">
        <v>571</v>
      </c>
      <c r="D8" s="326" t="s">
        <v>227</v>
      </c>
      <c r="E8" s="275" t="s">
        <v>229</v>
      </c>
      <c r="F8" s="275" t="s">
        <v>231</v>
      </c>
    </row>
    <row r="9" spans="1:6">
      <c r="A9" s="320"/>
      <c r="B9" s="340"/>
      <c r="C9" s="318"/>
      <c r="D9" s="327"/>
      <c r="E9" s="318"/>
      <c r="F9" s="318"/>
    </row>
    <row r="10" spans="1:6">
      <c r="A10" s="320"/>
      <c r="B10" s="340"/>
      <c r="C10" s="318"/>
      <c r="D10" s="327"/>
      <c r="E10" s="318"/>
      <c r="F10" s="318"/>
    </row>
    <row r="11" spans="1:6" ht="71.25" customHeight="1">
      <c r="A11" s="320"/>
      <c r="B11" s="341"/>
      <c r="C11" s="276"/>
      <c r="D11" s="328"/>
      <c r="E11" s="276"/>
      <c r="F11" s="276"/>
    </row>
    <row r="12" spans="1:6">
      <c r="A12" s="320"/>
      <c r="B12" s="272" t="s">
        <v>225</v>
      </c>
      <c r="C12" s="275" t="s">
        <v>571</v>
      </c>
      <c r="D12" s="326" t="s">
        <v>228</v>
      </c>
      <c r="E12" s="275" t="s">
        <v>226</v>
      </c>
      <c r="F12" s="275" t="s">
        <v>230</v>
      </c>
    </row>
    <row r="13" spans="1:6">
      <c r="A13" s="320"/>
      <c r="B13" s="273"/>
      <c r="C13" s="318"/>
      <c r="D13" s="327"/>
      <c r="E13" s="318"/>
      <c r="F13" s="318"/>
    </row>
    <row r="14" spans="1:6">
      <c r="A14" s="320"/>
      <c r="B14" s="273"/>
      <c r="C14" s="318"/>
      <c r="D14" s="327"/>
      <c r="E14" s="318"/>
      <c r="F14" s="318"/>
    </row>
    <row r="15" spans="1:6" ht="56.25" customHeight="1">
      <c r="A15" s="321"/>
      <c r="B15" s="274"/>
      <c r="C15" s="276"/>
      <c r="D15" s="328"/>
      <c r="E15" s="276"/>
      <c r="F15" s="276"/>
    </row>
    <row r="16" spans="1:6" ht="15" customHeight="1">
      <c r="A16" s="322" t="s">
        <v>232</v>
      </c>
      <c r="B16" s="326" t="s">
        <v>233</v>
      </c>
      <c r="C16" s="336" t="s">
        <v>571</v>
      </c>
      <c r="D16" s="275" t="s">
        <v>167</v>
      </c>
      <c r="E16" s="275" t="s">
        <v>239</v>
      </c>
      <c r="F16" s="315" t="s">
        <v>237</v>
      </c>
    </row>
    <row r="17" spans="1:11" ht="15" customHeight="1">
      <c r="A17" s="323"/>
      <c r="B17" s="327"/>
      <c r="C17" s="337"/>
      <c r="D17" s="318"/>
      <c r="E17" s="318"/>
      <c r="F17" s="316"/>
    </row>
    <row r="18" spans="1:11" ht="51" customHeight="1" thickBot="1">
      <c r="A18" s="323"/>
      <c r="B18" s="328"/>
      <c r="C18" s="338"/>
      <c r="D18" s="325"/>
      <c r="E18" s="276"/>
      <c r="F18" s="317"/>
    </row>
    <row r="19" spans="1:11" ht="15" customHeight="1">
      <c r="A19" s="323"/>
      <c r="B19" s="326" t="s">
        <v>234</v>
      </c>
      <c r="C19" s="336" t="s">
        <v>571</v>
      </c>
      <c r="D19" s="275" t="s">
        <v>167</v>
      </c>
      <c r="E19" s="275" t="s">
        <v>239</v>
      </c>
      <c r="F19" s="275" t="s">
        <v>237</v>
      </c>
    </row>
    <row r="20" spans="1:11">
      <c r="A20" s="323"/>
      <c r="B20" s="327"/>
      <c r="C20" s="337"/>
      <c r="D20" s="318"/>
      <c r="E20" s="318"/>
      <c r="F20" s="318"/>
    </row>
    <row r="21" spans="1:11">
      <c r="A21" s="323"/>
      <c r="B21" s="327"/>
      <c r="C21" s="337"/>
      <c r="D21" s="318"/>
      <c r="E21" s="318"/>
      <c r="F21" s="318"/>
    </row>
    <row r="22" spans="1:11" ht="40.5" customHeight="1">
      <c r="A22" s="323"/>
      <c r="B22" s="328"/>
      <c r="C22" s="338"/>
      <c r="D22" s="276"/>
      <c r="E22" s="276"/>
      <c r="F22" s="276"/>
    </row>
    <row r="23" spans="1:11">
      <c r="A23" s="323"/>
      <c r="B23" s="326" t="s">
        <v>235</v>
      </c>
      <c r="C23" s="275" t="s">
        <v>571</v>
      </c>
      <c r="D23" s="275" t="s">
        <v>167</v>
      </c>
      <c r="E23" s="275" t="s">
        <v>226</v>
      </c>
      <c r="F23" s="275" t="s">
        <v>237</v>
      </c>
    </row>
    <row r="24" spans="1:11">
      <c r="A24" s="323"/>
      <c r="B24" s="327"/>
      <c r="C24" s="318"/>
      <c r="D24" s="318"/>
      <c r="E24" s="318"/>
      <c r="F24" s="318"/>
    </row>
    <row r="25" spans="1:11" ht="48.75" customHeight="1" thickBot="1">
      <c r="A25" s="323"/>
      <c r="B25" s="328"/>
      <c r="C25" s="325"/>
      <c r="D25" s="325"/>
      <c r="E25" s="325"/>
      <c r="F25" s="318"/>
    </row>
    <row r="26" spans="1:11" ht="15" hidden="1" customHeight="1">
      <c r="A26" s="323"/>
      <c r="B26" s="326" t="s">
        <v>236</v>
      </c>
      <c r="C26" s="329" t="s">
        <v>571</v>
      </c>
      <c r="D26" s="332" t="s">
        <v>167</v>
      </c>
      <c r="E26" s="334" t="s">
        <v>239</v>
      </c>
      <c r="F26" s="332" t="s">
        <v>238</v>
      </c>
    </row>
    <row r="27" spans="1:11" ht="15" hidden="1" customHeight="1">
      <c r="A27" s="323"/>
      <c r="B27" s="327"/>
      <c r="C27" s="330"/>
      <c r="D27" s="333"/>
      <c r="E27" s="335"/>
      <c r="F27" s="333"/>
    </row>
    <row r="28" spans="1:11" ht="15" hidden="1" customHeight="1">
      <c r="A28" s="323"/>
      <c r="B28" s="327"/>
      <c r="C28" s="330"/>
      <c r="D28" s="333"/>
      <c r="E28" s="335"/>
      <c r="F28" s="333"/>
    </row>
    <row r="29" spans="1:11">
      <c r="A29" s="323"/>
      <c r="B29" s="327"/>
      <c r="C29" s="330"/>
      <c r="D29" s="333"/>
      <c r="E29" s="335"/>
      <c r="F29" s="333"/>
    </row>
    <row r="30" spans="1:11" ht="69.75" customHeight="1">
      <c r="A30" s="324"/>
      <c r="B30" s="328"/>
      <c r="C30" s="331"/>
      <c r="D30" s="333"/>
      <c r="E30" s="335"/>
      <c r="F30" s="333"/>
      <c r="G30" s="64"/>
    </row>
    <row r="31" spans="1:11" s="66" customFormat="1" ht="15" customHeight="1">
      <c r="A31" s="319" t="str">
        <f>[1]H3!$A$12</f>
        <v>Eficientizada la gestión de las empresas APS</v>
      </c>
      <c r="B31" s="305" t="s">
        <v>240</v>
      </c>
      <c r="C31" s="275" t="s">
        <v>571</v>
      </c>
      <c r="D31" s="275" t="s">
        <v>167</v>
      </c>
      <c r="E31" s="275" t="s">
        <v>229</v>
      </c>
      <c r="F31" s="275" t="s">
        <v>241</v>
      </c>
      <c r="G31"/>
      <c r="H31"/>
      <c r="I31"/>
      <c r="J31"/>
      <c r="K31"/>
    </row>
    <row r="32" spans="1:11" ht="15" customHeight="1">
      <c r="A32" s="320"/>
      <c r="B32" s="306"/>
      <c r="C32" s="318"/>
      <c r="D32" s="318"/>
      <c r="E32" s="318"/>
      <c r="F32" s="318"/>
    </row>
    <row r="33" spans="1:11" ht="15" customHeight="1">
      <c r="A33" s="320"/>
      <c r="B33" s="306"/>
      <c r="C33" s="318"/>
      <c r="D33" s="318"/>
      <c r="E33" s="318"/>
      <c r="F33" s="318"/>
    </row>
    <row r="34" spans="1:11" ht="15" customHeight="1">
      <c r="A34" s="320"/>
      <c r="B34" s="306"/>
      <c r="C34" s="318"/>
      <c r="D34" s="318"/>
      <c r="E34" s="318"/>
      <c r="F34" s="318"/>
    </row>
    <row r="35" spans="1:11" ht="15" customHeight="1">
      <c r="A35" s="320"/>
      <c r="B35" s="306"/>
      <c r="C35" s="318"/>
      <c r="D35" s="318"/>
      <c r="E35" s="318"/>
      <c r="F35" s="318"/>
    </row>
    <row r="36" spans="1:11" ht="58.5" customHeight="1">
      <c r="A36" s="320"/>
      <c r="B36" s="307"/>
      <c r="C36" s="276"/>
      <c r="D36" s="276"/>
      <c r="E36" s="276"/>
      <c r="F36" s="276"/>
    </row>
    <row r="37" spans="1:11" s="66" customFormat="1">
      <c r="A37" s="320"/>
      <c r="B37" s="275" t="s">
        <v>242</v>
      </c>
      <c r="C37" s="275" t="s">
        <v>571</v>
      </c>
      <c r="D37" s="275" t="s">
        <v>167</v>
      </c>
      <c r="E37" s="315" t="s">
        <v>244</v>
      </c>
      <c r="F37" s="275" t="s">
        <v>243</v>
      </c>
      <c r="G37" s="65"/>
      <c r="H37"/>
      <c r="I37"/>
      <c r="J37"/>
      <c r="K37"/>
    </row>
    <row r="38" spans="1:11">
      <c r="A38" s="320"/>
      <c r="B38" s="318"/>
      <c r="C38" s="318"/>
      <c r="D38" s="318"/>
      <c r="E38" s="316"/>
      <c r="F38" s="318"/>
    </row>
    <row r="39" spans="1:11">
      <c r="A39" s="320"/>
      <c r="B39" s="318"/>
      <c r="C39" s="318"/>
      <c r="D39" s="318"/>
      <c r="E39" s="316"/>
      <c r="F39" s="318"/>
    </row>
    <row r="40" spans="1:11">
      <c r="A40" s="320"/>
      <c r="B40" s="318"/>
      <c r="C40" s="318"/>
      <c r="D40" s="318"/>
      <c r="E40" s="316"/>
      <c r="F40" s="318"/>
    </row>
    <row r="41" spans="1:11">
      <c r="A41" s="320"/>
      <c r="B41" s="318"/>
      <c r="C41" s="318"/>
      <c r="D41" s="318"/>
      <c r="E41" s="316"/>
      <c r="F41" s="318"/>
    </row>
    <row r="42" spans="1:11">
      <c r="A42" s="320"/>
      <c r="B42" s="318"/>
      <c r="C42" s="318"/>
      <c r="D42" s="318"/>
      <c r="E42" s="316"/>
      <c r="F42" s="318"/>
    </row>
    <row r="43" spans="1:11" s="67" customFormat="1">
      <c r="A43" s="321"/>
      <c r="B43" s="276"/>
      <c r="C43" s="276"/>
      <c r="D43" s="276"/>
      <c r="E43" s="317"/>
      <c r="F43" s="276"/>
      <c r="G43"/>
      <c r="H43"/>
      <c r="I43"/>
      <c r="J43"/>
      <c r="K43"/>
    </row>
  </sheetData>
  <mergeCells count="44">
    <mergeCell ref="A2:F2"/>
    <mergeCell ref="B8:B11"/>
    <mergeCell ref="C8:C11"/>
    <mergeCell ref="D8:D11"/>
    <mergeCell ref="E8:E11"/>
    <mergeCell ref="F8:F11"/>
    <mergeCell ref="A4:A15"/>
    <mergeCell ref="B12:B15"/>
    <mergeCell ref="C12:C15"/>
    <mergeCell ref="D12:D15"/>
    <mergeCell ref="E12:E15"/>
    <mergeCell ref="F12:F15"/>
    <mergeCell ref="F19:F22"/>
    <mergeCell ref="F16:F18"/>
    <mergeCell ref="B19:B22"/>
    <mergeCell ref="C19:C22"/>
    <mergeCell ref="D16:D18"/>
    <mergeCell ref="D19:D22"/>
    <mergeCell ref="E19:E22"/>
    <mergeCell ref="E16:E18"/>
    <mergeCell ref="C16:C18"/>
    <mergeCell ref="B16:B18"/>
    <mergeCell ref="F23:F25"/>
    <mergeCell ref="B26:B30"/>
    <mergeCell ref="C26:C30"/>
    <mergeCell ref="D23:D25"/>
    <mergeCell ref="D26:D30"/>
    <mergeCell ref="F26:F30"/>
    <mergeCell ref="E26:E30"/>
    <mergeCell ref="E23:E25"/>
    <mergeCell ref="B23:B25"/>
    <mergeCell ref="A16:A30"/>
    <mergeCell ref="B31:B36"/>
    <mergeCell ref="C31:C36"/>
    <mergeCell ref="D31:D36"/>
    <mergeCell ref="B37:B43"/>
    <mergeCell ref="D37:D43"/>
    <mergeCell ref="C23:C25"/>
    <mergeCell ref="E37:E43"/>
    <mergeCell ref="F37:F43"/>
    <mergeCell ref="E31:E36"/>
    <mergeCell ref="F31:F36"/>
    <mergeCell ref="A31:A43"/>
    <mergeCell ref="C37:C43"/>
  </mergeCells>
  <pageMargins left="0.7" right="0.7" top="0.75" bottom="0.75" header="0.3" footer="0.3"/>
  <pageSetup paperSize="9" orientation="portrait" verticalDpi="36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7"/>
  <sheetViews>
    <sheetView zoomScaleNormal="100" workbookViewId="0">
      <selection activeCell="C3" sqref="C3"/>
    </sheetView>
  </sheetViews>
  <sheetFormatPr baseColWidth="10" defaultColWidth="9.140625" defaultRowHeight="15"/>
  <cols>
    <col min="1" max="1" width="4" customWidth="1"/>
    <col min="2" max="2" width="22.42578125" customWidth="1"/>
    <col min="3" max="3" width="78.140625" customWidth="1"/>
    <col min="4" max="4" width="30.140625" customWidth="1"/>
  </cols>
  <sheetData>
    <row r="1" spans="2:4" ht="24" customHeight="1"/>
    <row r="2" spans="2:4" ht="24" customHeight="1" thickBot="1">
      <c r="B2" s="346" t="s">
        <v>16</v>
      </c>
      <c r="C2" s="346"/>
    </row>
    <row r="3" spans="2:4" ht="88.5" customHeight="1" thickBot="1">
      <c r="B3" s="3" t="s">
        <v>17</v>
      </c>
      <c r="C3" s="215" t="s">
        <v>575</v>
      </c>
      <c r="D3" s="7"/>
    </row>
    <row r="4" spans="2:4" ht="29.25" customHeight="1">
      <c r="B4" s="347" t="s">
        <v>18</v>
      </c>
      <c r="C4" s="349" t="s">
        <v>175</v>
      </c>
    </row>
    <row r="5" spans="2:4" ht="39.75" customHeight="1" thickBot="1">
      <c r="B5" s="348"/>
      <c r="C5" s="350"/>
    </row>
    <row r="6" spans="2:4" ht="128.25" customHeight="1" thickBot="1">
      <c r="B6" s="342" t="s">
        <v>176</v>
      </c>
      <c r="C6" s="343"/>
    </row>
    <row r="7" spans="2:4" ht="409.5" customHeight="1" thickBot="1">
      <c r="B7" s="344" t="s">
        <v>574</v>
      </c>
      <c r="C7" s="345"/>
    </row>
  </sheetData>
  <mergeCells count="5">
    <mergeCell ref="B6:C6"/>
    <mergeCell ref="B7:C7"/>
    <mergeCell ref="B2:C2"/>
    <mergeCell ref="B4:B5"/>
    <mergeCell ref="C4:C5"/>
  </mergeCells>
  <pageMargins left="0.7" right="0.7" top="0.75" bottom="0.75" header="0.3" footer="0.3"/>
  <pageSetup paperSize="9"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9"/>
  <sheetViews>
    <sheetView zoomScale="95" zoomScaleNormal="95" workbookViewId="0">
      <selection activeCell="C5" sqref="C5:G5"/>
    </sheetView>
  </sheetViews>
  <sheetFormatPr baseColWidth="10" defaultColWidth="9.140625" defaultRowHeight="15"/>
  <cols>
    <col min="1" max="1" width="5.42578125" customWidth="1"/>
    <col min="2" max="3" width="20.42578125" customWidth="1"/>
    <col min="4" max="4" width="11.85546875" customWidth="1"/>
    <col min="5" max="5" width="22.42578125" customWidth="1"/>
    <col min="6" max="6" width="20.42578125" customWidth="1"/>
    <col min="7" max="7" width="22.85546875" style="7" customWidth="1"/>
    <col min="8" max="8" width="19.28515625" customWidth="1"/>
    <col min="9" max="9" width="35.5703125" customWidth="1"/>
    <col min="10" max="11" width="19.28515625" customWidth="1"/>
  </cols>
  <sheetData>
    <row r="2" spans="2:9" ht="29.25" customHeight="1" thickBot="1">
      <c r="B2" s="361" t="s">
        <v>19</v>
      </c>
      <c r="C2" s="362"/>
      <c r="D2" s="362"/>
      <c r="E2" s="362"/>
      <c r="F2" s="362"/>
      <c r="G2" s="362"/>
    </row>
    <row r="3" spans="2:9" ht="268.5" customHeight="1" thickBot="1">
      <c r="B3" s="30" t="s">
        <v>20</v>
      </c>
      <c r="C3" s="363" t="s">
        <v>436</v>
      </c>
      <c r="D3" s="364"/>
      <c r="E3" s="364"/>
      <c r="F3" s="364"/>
      <c r="G3" s="365"/>
    </row>
    <row r="4" spans="2:9" ht="248.25" customHeight="1" thickBot="1">
      <c r="B4" s="30" t="s">
        <v>21</v>
      </c>
      <c r="C4" s="366" t="s">
        <v>572</v>
      </c>
      <c r="D4" s="367"/>
      <c r="E4" s="367"/>
      <c r="F4" s="367"/>
      <c r="G4" s="368"/>
    </row>
    <row r="5" spans="2:9" ht="383.25" customHeight="1" thickBot="1">
      <c r="B5" s="42" t="s">
        <v>22</v>
      </c>
      <c r="C5" s="369" t="s">
        <v>437</v>
      </c>
      <c r="D5" s="370"/>
      <c r="E5" s="370"/>
      <c r="F5" s="370"/>
      <c r="G5" s="371"/>
    </row>
    <row r="6" spans="2:9" ht="177.75" customHeight="1">
      <c r="B6" s="355" t="s">
        <v>23</v>
      </c>
      <c r="C6" s="358" t="s">
        <v>438</v>
      </c>
      <c r="D6" s="359"/>
      <c r="E6" s="359"/>
      <c r="F6" s="359"/>
      <c r="G6" s="360"/>
    </row>
    <row r="7" spans="2:9" s="38" customFormat="1" ht="114.75" customHeight="1">
      <c r="B7" s="356"/>
      <c r="C7" s="352"/>
      <c r="D7" s="353"/>
      <c r="E7" s="353"/>
      <c r="F7" s="353"/>
      <c r="G7" s="354"/>
    </row>
    <row r="8" spans="2:9" ht="367.5" customHeight="1" thickBot="1">
      <c r="B8" s="357"/>
      <c r="C8" s="372" t="s">
        <v>573</v>
      </c>
      <c r="D8" s="372"/>
      <c r="E8" s="372"/>
      <c r="F8" s="372"/>
      <c r="G8" s="373"/>
      <c r="I8" s="43" t="s">
        <v>24</v>
      </c>
    </row>
    <row r="9" spans="2:9">
      <c r="C9" s="351"/>
      <c r="D9" s="351"/>
      <c r="E9" s="351"/>
      <c r="F9" s="351"/>
      <c r="G9" s="351"/>
    </row>
  </sheetData>
  <mergeCells count="9">
    <mergeCell ref="C9:G9"/>
    <mergeCell ref="C7:G7"/>
    <mergeCell ref="B6:B8"/>
    <mergeCell ref="C6:G6"/>
    <mergeCell ref="B2:G2"/>
    <mergeCell ref="C3:G3"/>
    <mergeCell ref="C4:G4"/>
    <mergeCell ref="C5:G5"/>
    <mergeCell ref="C8:G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23"/>
  <sheetViews>
    <sheetView zoomScale="120" zoomScaleNormal="120" workbookViewId="0">
      <selection activeCell="A14" sqref="A14"/>
    </sheetView>
  </sheetViews>
  <sheetFormatPr baseColWidth="10" defaultColWidth="9.140625" defaultRowHeight="15"/>
  <cols>
    <col min="1" max="2" width="30.7109375" customWidth="1"/>
    <col min="3" max="3" width="17" customWidth="1"/>
    <col min="4" max="4" width="18.5703125" customWidth="1"/>
    <col min="5" max="5" width="18.85546875" customWidth="1"/>
    <col min="6" max="6" width="18.7109375" customWidth="1"/>
    <col min="7" max="7" width="17.28515625" customWidth="1"/>
    <col min="8" max="8" width="16" customWidth="1"/>
    <col min="9" max="9" width="36.5703125" customWidth="1"/>
  </cols>
  <sheetData>
    <row r="2" spans="1:9" ht="19.5" thickBot="1">
      <c r="A2" s="308" t="s">
        <v>25</v>
      </c>
      <c r="B2" s="308"/>
      <c r="C2" s="308"/>
      <c r="D2" s="308"/>
      <c r="E2" s="308"/>
      <c r="F2" s="308"/>
      <c r="G2" s="308"/>
      <c r="H2" s="308"/>
    </row>
    <row r="3" spans="1:9" ht="50.1" customHeight="1" thickBot="1">
      <c r="A3" s="16" t="s">
        <v>26</v>
      </c>
      <c r="B3" s="17" t="s">
        <v>27</v>
      </c>
      <c r="C3" s="18">
        <v>2024</v>
      </c>
      <c r="D3" s="21">
        <v>2025</v>
      </c>
      <c r="E3" s="21">
        <v>2026</v>
      </c>
      <c r="F3" s="21">
        <v>2027</v>
      </c>
      <c r="G3" s="21">
        <v>2028</v>
      </c>
      <c r="H3" s="21" t="s">
        <v>28</v>
      </c>
    </row>
    <row r="4" spans="1:9" ht="24" customHeight="1">
      <c r="A4" s="374" t="s">
        <v>29</v>
      </c>
      <c r="B4" s="138" t="s">
        <v>30</v>
      </c>
      <c r="C4" s="139" t="str">
        <f>+CONCATENATE("Valor ",C3)</f>
        <v>Valor 2024</v>
      </c>
      <c r="D4" s="139" t="str">
        <f>+CONCATENATE("Valor ",D3)</f>
        <v>Valor 2025</v>
      </c>
      <c r="E4" s="139" t="str">
        <f t="shared" ref="E4:G4" si="0">+CONCATENATE("Valor ",E3)</f>
        <v>Valor 2026</v>
      </c>
      <c r="F4" s="139" t="str">
        <f t="shared" si="0"/>
        <v>Valor 2027</v>
      </c>
      <c r="G4" s="139" t="str">
        <f t="shared" si="0"/>
        <v>Valor 2028</v>
      </c>
      <c r="H4" s="140" t="s">
        <v>31</v>
      </c>
    </row>
    <row r="5" spans="1:9" ht="39" customHeight="1" thickBot="1">
      <c r="A5" s="375"/>
      <c r="B5" s="141" t="s">
        <v>258</v>
      </c>
      <c r="C5" s="145" t="s">
        <v>32</v>
      </c>
      <c r="D5" s="142">
        <f t="shared" ref="D5:G5" si="1">+IF(ISERR(((D4-C4)/C4)),0,IF(((D4-C4)/C4)&gt;0,((D4-C4)/C4),0))</f>
        <v>0</v>
      </c>
      <c r="E5" s="142">
        <f t="shared" si="1"/>
        <v>0</v>
      </c>
      <c r="F5" s="142">
        <f t="shared" si="1"/>
        <v>0</v>
      </c>
      <c r="G5" s="142">
        <f t="shared" si="1"/>
        <v>0</v>
      </c>
      <c r="H5" s="187">
        <f>+SUM(D5:G5)/4</f>
        <v>0</v>
      </c>
    </row>
    <row r="6" spans="1:9" ht="36" customHeight="1">
      <c r="A6" s="171" t="s">
        <v>576</v>
      </c>
      <c r="B6" s="169" t="s">
        <v>259</v>
      </c>
      <c r="C6" s="179" t="s">
        <v>32</v>
      </c>
      <c r="D6" s="179" t="s">
        <v>32</v>
      </c>
      <c r="E6" s="179" t="s">
        <v>32</v>
      </c>
      <c r="F6" s="179" t="s">
        <v>32</v>
      </c>
      <c r="G6" s="179" t="s">
        <v>32</v>
      </c>
      <c r="H6" s="188" t="s">
        <v>32</v>
      </c>
    </row>
    <row r="7" spans="1:9" s="7" customFormat="1" ht="9.75" customHeight="1" thickBot="1">
      <c r="A7" s="144"/>
      <c r="B7" s="145" t="s">
        <v>258</v>
      </c>
      <c r="C7" s="145" t="s">
        <v>32</v>
      </c>
      <c r="D7" s="181">
        <f>+IF(ISERR(((D6-C6)/C6)),0,IF(((D6-C6)/C6)&gt;0,((D6-C6)/C6),0))</f>
        <v>0</v>
      </c>
      <c r="E7" s="181">
        <f>+IF(ISERR(((E6-D6)/D6)),0,IF(((E6-D6)/D6)&gt;0,((E6-D6)/D6),0))</f>
        <v>0</v>
      </c>
      <c r="F7" s="181">
        <f t="shared" ref="F7:G7" si="2">+IF(ISERR(((F6-E6)/E6)),0,IF(((F6-E6)/E6)&gt;0,((F6-E6)/E6),0))</f>
        <v>0</v>
      </c>
      <c r="G7" s="181">
        <f t="shared" si="2"/>
        <v>0</v>
      </c>
      <c r="H7" s="189">
        <f t="shared" ref="H7:H19" si="3">+SUM(D7:G7)/4</f>
        <v>0</v>
      </c>
    </row>
    <row r="8" spans="1:9" ht="42" customHeight="1">
      <c r="A8" s="171" t="s">
        <v>576</v>
      </c>
      <c r="B8" s="169" t="s">
        <v>260</v>
      </c>
      <c r="C8" s="180">
        <f>+C10*1000</f>
        <v>402.92948795083311</v>
      </c>
      <c r="D8" s="182">
        <f>258426.855029105/365</f>
        <v>708.01878090165758</v>
      </c>
      <c r="E8" s="182">
        <f>+E10*1000</f>
        <v>322.34359036066644</v>
      </c>
      <c r="F8" s="182">
        <v>386.81230843279974</v>
      </c>
      <c r="G8" s="182">
        <f>+G10*1000</f>
        <v>443.22243674591647</v>
      </c>
      <c r="H8" s="190">
        <f>+SUM(D8:G8)/4</f>
        <v>465.09927911026</v>
      </c>
    </row>
    <row r="9" spans="1:9" ht="12" customHeight="1" thickBot="1">
      <c r="A9" s="146"/>
      <c r="B9" s="145" t="s">
        <v>258</v>
      </c>
      <c r="C9" s="145" t="s">
        <v>32</v>
      </c>
      <c r="D9" s="181">
        <f>+IF(ISERR(((D8-C8)/C8)),0,IF(((D8-C8)/C8)&gt;0,((D8-C8)/C8),0))</f>
        <v>0.75717787373271761</v>
      </c>
      <c r="E9" s="181">
        <f>+((E8-D8)/D8)</f>
        <v>-0.54472451994823656</v>
      </c>
      <c r="F9" s="181">
        <f t="shared" ref="F9:G9" si="4">+((F8-E8)/E8)</f>
        <v>0.20000000000000004</v>
      </c>
      <c r="G9" s="191">
        <f t="shared" si="4"/>
        <v>0.14583333333333359</v>
      </c>
      <c r="H9" s="192">
        <f>+SUM(D9:G9)/4</f>
        <v>0.13957167177945368</v>
      </c>
      <c r="I9" s="376"/>
    </row>
    <row r="10" spans="1:9" ht="34.5" customHeight="1">
      <c r="A10" s="171" t="s">
        <v>576</v>
      </c>
      <c r="B10" s="143" t="s">
        <v>261</v>
      </c>
      <c r="C10" s="183">
        <v>0.40292948795083311</v>
      </c>
      <c r="D10" s="197">
        <f>258.426855029105/365</f>
        <v>0.7080187809016576</v>
      </c>
      <c r="E10" s="183">
        <v>0.32234359036066645</v>
      </c>
      <c r="F10" s="197">
        <v>0.38681230843279973</v>
      </c>
      <c r="G10" s="197">
        <v>0.44322243674591649</v>
      </c>
      <c r="H10" s="198">
        <f t="shared" si="3"/>
        <v>0.46509927911026006</v>
      </c>
      <c r="I10" s="376"/>
    </row>
    <row r="11" spans="1:9" ht="12" customHeight="1" thickBot="1">
      <c r="A11" s="146"/>
      <c r="B11" s="145" t="s">
        <v>258</v>
      </c>
      <c r="C11" s="145" t="s">
        <v>32</v>
      </c>
      <c r="D11" s="181">
        <f>+IF(ISERR(((D10-C10)/C10)),0,IF(((D10-C10)/C10)&gt;0,((D10-C10)/C10),0))</f>
        <v>0.75717787373271761</v>
      </c>
      <c r="E11" s="181">
        <f>+((E10-D10)/D10)</f>
        <v>-0.54472451994823656</v>
      </c>
      <c r="F11" s="181">
        <f t="shared" ref="F11:G11" si="5">+((F10-E10)/E10)</f>
        <v>0.19999999999999996</v>
      </c>
      <c r="G11" s="191">
        <f t="shared" si="5"/>
        <v>0.14583333333333368</v>
      </c>
      <c r="H11" s="192">
        <f t="shared" si="3"/>
        <v>0.13957167177945368</v>
      </c>
    </row>
    <row r="12" spans="1:9" ht="36.75" customHeight="1">
      <c r="A12" s="171" t="s">
        <v>576</v>
      </c>
      <c r="B12" s="169" t="s">
        <v>262</v>
      </c>
      <c r="C12" s="186">
        <v>9.35E-2</v>
      </c>
      <c r="D12" s="184">
        <v>0.31177519762629097</v>
      </c>
      <c r="E12" s="186">
        <v>9.35E-2</v>
      </c>
      <c r="F12" s="186">
        <v>9.35E-2</v>
      </c>
      <c r="G12" s="186">
        <v>9.35E-2</v>
      </c>
      <c r="H12" s="194">
        <f t="shared" si="3"/>
        <v>0.14806879940657275</v>
      </c>
    </row>
    <row r="13" spans="1:9" ht="12" customHeight="1" thickBot="1">
      <c r="A13" s="147"/>
      <c r="B13" s="148" t="s">
        <v>258</v>
      </c>
      <c r="C13" s="145" t="s">
        <v>32</v>
      </c>
      <c r="D13" s="181">
        <f>+IF(ISERR(((D12-C12)/C12)),0,IF(((D12-C12)/C12)&gt;0,((D12-C12)/C12),0))</f>
        <v>2.3344940922597965</v>
      </c>
      <c r="E13" s="181">
        <f t="shared" ref="E13:G13" si="6">+((E12-D12)/D12)</f>
        <v>-0.70010443193729066</v>
      </c>
      <c r="F13" s="181">
        <f t="shared" si="6"/>
        <v>0</v>
      </c>
      <c r="G13" s="181">
        <f t="shared" si="6"/>
        <v>0</v>
      </c>
      <c r="H13" s="192">
        <f t="shared" si="3"/>
        <v>0.40859741508062647</v>
      </c>
    </row>
    <row r="14" spans="1:9" ht="41.45" customHeight="1">
      <c r="A14" s="171" t="s">
        <v>576</v>
      </c>
      <c r="B14" s="169" t="s">
        <v>263</v>
      </c>
      <c r="C14" s="184">
        <v>1</v>
      </c>
      <c r="D14" s="184">
        <v>1</v>
      </c>
      <c r="E14" s="184">
        <v>1</v>
      </c>
      <c r="F14" s="184">
        <v>1</v>
      </c>
      <c r="G14" s="184">
        <v>1</v>
      </c>
      <c r="H14" s="193">
        <f t="shared" si="3"/>
        <v>1</v>
      </c>
    </row>
    <row r="15" spans="1:9" ht="9.75" customHeight="1" thickBot="1">
      <c r="A15" s="147"/>
      <c r="B15" s="148" t="s">
        <v>258</v>
      </c>
      <c r="C15" s="145" t="s">
        <v>32</v>
      </c>
      <c r="D15" s="181">
        <f>+IF(ISERR(((D14-C14)/C14)),0,IF(((D14-C14)/C14)&gt;0,((D14-C14)/C14),0))</f>
        <v>0</v>
      </c>
      <c r="E15" s="181">
        <f t="shared" ref="E15:G15" si="7">+((E14-D14)/D14)</f>
        <v>0</v>
      </c>
      <c r="F15" s="181">
        <f t="shared" si="7"/>
        <v>0</v>
      </c>
      <c r="G15" s="181">
        <f t="shared" si="7"/>
        <v>0</v>
      </c>
      <c r="H15" s="192">
        <f t="shared" si="3"/>
        <v>0</v>
      </c>
    </row>
    <row r="16" spans="1:9" ht="38.25">
      <c r="A16" s="171" t="s">
        <v>576</v>
      </c>
      <c r="B16" s="169" t="s">
        <v>264</v>
      </c>
      <c r="C16" s="186">
        <v>0.11</v>
      </c>
      <c r="D16" s="184">
        <v>0.20173689258171773</v>
      </c>
      <c r="E16" s="184">
        <v>0.11</v>
      </c>
      <c r="F16" s="184">
        <v>0.11</v>
      </c>
      <c r="G16" s="184">
        <v>0.11</v>
      </c>
      <c r="H16" s="193">
        <f t="shared" si="3"/>
        <v>0.13293422314542944</v>
      </c>
    </row>
    <row r="17" spans="1:8" ht="11.25" customHeight="1" thickBot="1">
      <c r="A17" s="147"/>
      <c r="B17" s="148" t="s">
        <v>258</v>
      </c>
      <c r="C17" s="145" t="s">
        <v>32</v>
      </c>
      <c r="D17" s="181">
        <f>+IF(ISERR(((D16-C16)/C16)),0,IF(((D16-C16)/C16)&gt;0,((D16-C16)/C16),0))</f>
        <v>0.83397175074288843</v>
      </c>
      <c r="E17" s="181">
        <f t="shared" ref="E17:G17" si="8">+((E16-D16)/D16)</f>
        <v>-0.45473533079507406</v>
      </c>
      <c r="F17" s="181">
        <f t="shared" si="8"/>
        <v>0</v>
      </c>
      <c r="G17" s="181">
        <f t="shared" si="8"/>
        <v>0</v>
      </c>
      <c r="H17" s="192">
        <f t="shared" si="3"/>
        <v>9.4809104986953593E-2</v>
      </c>
    </row>
    <row r="18" spans="1:8" ht="42" customHeight="1">
      <c r="A18" s="171" t="s">
        <v>265</v>
      </c>
      <c r="B18" s="169" t="s">
        <v>266</v>
      </c>
      <c r="C18" s="185">
        <v>0.51921787936656583</v>
      </c>
      <c r="D18" s="185">
        <v>0.52613097861025659</v>
      </c>
      <c r="E18" s="185">
        <v>0.5362562786102566</v>
      </c>
      <c r="F18" s="185">
        <v>0.55138157861025661</v>
      </c>
      <c r="G18" s="185">
        <v>0.5656068786102566</v>
      </c>
      <c r="H18" s="196">
        <f t="shared" si="3"/>
        <v>0.54484392861025666</v>
      </c>
    </row>
    <row r="19" spans="1:8" ht="11.45" customHeight="1" thickBot="1">
      <c r="A19" s="147"/>
      <c r="B19" s="148" t="s">
        <v>258</v>
      </c>
      <c r="C19" s="145" t="s">
        <v>32</v>
      </c>
      <c r="D19" s="181">
        <f>+IF(ISERR(((D18-C18)/C18)),0,IF(((D18-C18)/C18)&gt;0,((D18-C18)/C18),0))</f>
        <v>1.3314447592067888E-2</v>
      </c>
      <c r="E19" s="181">
        <f>+IF(ISERR(((E18-D18)/D18)),0,IF(((E18-D18)/D18)&gt;0,((E18-D18)/D18),0))</f>
        <v>1.9244827641104457E-2</v>
      </c>
      <c r="F19" s="181">
        <f t="shared" ref="F19:G19" si="9">+IF(ISERR(((F18-E18)/E18)),0,IF(((F18-E18)/E18)&gt;0,((F18-E18)/E18),0))</f>
        <v>2.8205357407093148E-2</v>
      </c>
      <c r="G19" s="181">
        <f t="shared" si="9"/>
        <v>2.5799374792053277E-2</v>
      </c>
      <c r="H19" s="195">
        <f t="shared" si="3"/>
        <v>2.1641001858079691E-2</v>
      </c>
    </row>
    <row r="20" spans="1:8" ht="56.25" customHeight="1">
      <c r="A20" s="171" t="s">
        <v>265</v>
      </c>
      <c r="B20" s="170" t="s">
        <v>267</v>
      </c>
      <c r="C20" s="179" t="s">
        <v>32</v>
      </c>
      <c r="D20" s="179" t="s">
        <v>32</v>
      </c>
      <c r="E20" s="179" t="s">
        <v>32</v>
      </c>
      <c r="F20" s="179" t="s">
        <v>32</v>
      </c>
      <c r="G20" s="179" t="s">
        <v>32</v>
      </c>
      <c r="H20" s="188" t="s">
        <v>32</v>
      </c>
    </row>
    <row r="21" spans="1:8" ht="12" customHeight="1" thickBot="1">
      <c r="A21" s="147"/>
      <c r="B21" s="148" t="s">
        <v>258</v>
      </c>
      <c r="C21" s="145" t="s">
        <v>32</v>
      </c>
      <c r="D21" s="181">
        <f>+IF(ISERR(((D20-C20)/C20)),0,IF(((D20-C20)/C20)&gt;0,((D20-C20)/C20),0))</f>
        <v>0</v>
      </c>
      <c r="E21" s="181">
        <f>+IF(ISERR(((E20-D20)/D20)),0,IF(((E20-D20)/D20)&gt;0,((E20-D20)/D20),0))</f>
        <v>0</v>
      </c>
      <c r="F21" s="181">
        <f t="shared" ref="F21:G21" si="10">+IF(ISERR(((F20-E20)/E20)),0,IF(((F20-E20)/E20)&gt;0,((F20-E20)/E20),0))</f>
        <v>0</v>
      </c>
      <c r="G21" s="181">
        <f t="shared" si="10"/>
        <v>0</v>
      </c>
      <c r="H21" s="189">
        <f>+SUM(D21:G21)/4</f>
        <v>0</v>
      </c>
    </row>
    <row r="22" spans="1:8" ht="30" customHeight="1"/>
    <row r="23" spans="1:8" ht="13.15" customHeight="1"/>
  </sheetData>
  <mergeCells count="3">
    <mergeCell ref="A2:H2"/>
    <mergeCell ref="A4:A5"/>
    <mergeCell ref="I9:I10"/>
  </mergeCells>
  <pageMargins left="0.7" right="0.7" top="0.75" bottom="0.75" header="0.3" footer="0.3"/>
  <pageSetup paperSize="9" orientation="landscape" horizontalDpi="360" verticalDpi="36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6"/>
  <sheetViews>
    <sheetView workbookViewId="0">
      <selection activeCell="A5" sqref="A5"/>
    </sheetView>
  </sheetViews>
  <sheetFormatPr baseColWidth="10" defaultColWidth="9.140625" defaultRowHeight="15"/>
  <cols>
    <col min="1" max="1" width="44.42578125" customWidth="1"/>
    <col min="2" max="2" width="26.140625" customWidth="1"/>
    <col min="3" max="3" width="24.28515625" customWidth="1"/>
    <col min="4" max="4" width="17.7109375" customWidth="1"/>
    <col min="5" max="5" width="20.42578125" customWidth="1"/>
  </cols>
  <sheetData>
    <row r="2" spans="1:5" ht="40.5" customHeight="1" thickBot="1">
      <c r="A2" s="382" t="s">
        <v>33</v>
      </c>
      <c r="B2" s="382"/>
      <c r="C2" s="382"/>
      <c r="D2" s="382"/>
      <c r="E2" s="382"/>
    </row>
    <row r="3" spans="1:5" ht="24.75" customHeight="1" thickBot="1">
      <c r="A3" s="39" t="s">
        <v>34</v>
      </c>
      <c r="B3" s="377" t="s">
        <v>35</v>
      </c>
      <c r="C3" s="378"/>
      <c r="D3" s="379"/>
      <c r="E3" s="380" t="s">
        <v>36</v>
      </c>
    </row>
    <row r="4" spans="1:5" ht="31.5" customHeight="1" thickBot="1">
      <c r="A4" s="39"/>
      <c r="B4" s="39" t="s">
        <v>37</v>
      </c>
      <c r="C4" s="4" t="s">
        <v>38</v>
      </c>
      <c r="D4" s="4" t="s">
        <v>39</v>
      </c>
      <c r="E4" s="381"/>
    </row>
    <row r="5" spans="1:5" ht="45" customHeight="1" thickBot="1">
      <c r="A5" s="204" t="s">
        <v>576</v>
      </c>
      <c r="B5" s="202">
        <v>4</v>
      </c>
      <c r="C5" s="5">
        <v>3</v>
      </c>
      <c r="D5" s="5">
        <v>3</v>
      </c>
      <c r="E5" s="5">
        <v>3.3</v>
      </c>
    </row>
    <row r="6" spans="1:5" ht="45" customHeight="1" thickBot="1">
      <c r="A6" s="24" t="s">
        <v>439</v>
      </c>
      <c r="B6" s="203">
        <v>3</v>
      </c>
      <c r="C6" s="5">
        <v>4</v>
      </c>
      <c r="D6" s="5">
        <v>3</v>
      </c>
      <c r="E6" s="5">
        <v>3.3</v>
      </c>
    </row>
  </sheetData>
  <mergeCells count="3">
    <mergeCell ref="B3:D3"/>
    <mergeCell ref="E3:E4"/>
    <mergeCell ref="A2:E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2"/>
  <sheetViews>
    <sheetView workbookViewId="0">
      <selection activeCell="A4" sqref="A4:A10"/>
    </sheetView>
  </sheetViews>
  <sheetFormatPr baseColWidth="10" defaultColWidth="9.140625" defaultRowHeight="15"/>
  <cols>
    <col min="1" max="4" width="30.7109375" customWidth="1"/>
  </cols>
  <sheetData>
    <row r="2" spans="1:10" ht="18.75">
      <c r="A2" s="383" t="s">
        <v>40</v>
      </c>
      <c r="B2" s="383"/>
      <c r="C2" s="383"/>
      <c r="D2" s="383"/>
    </row>
    <row r="3" spans="1:10" ht="50.1" customHeight="1">
      <c r="A3" s="176" t="s">
        <v>26</v>
      </c>
      <c r="B3" s="23" t="s">
        <v>41</v>
      </c>
      <c r="C3" s="88" t="s">
        <v>42</v>
      </c>
      <c r="D3" s="88" t="s">
        <v>43</v>
      </c>
    </row>
    <row r="4" spans="1:10" ht="78.75" customHeight="1">
      <c r="A4" s="384" t="s">
        <v>576</v>
      </c>
      <c r="B4" s="81" t="s">
        <v>177</v>
      </c>
      <c r="C4" s="81" t="s">
        <v>180</v>
      </c>
      <c r="D4" s="326" t="s">
        <v>577</v>
      </c>
      <c r="E4" s="65"/>
    </row>
    <row r="5" spans="1:10" ht="30">
      <c r="A5" s="385"/>
      <c r="B5" s="81" t="s">
        <v>178</v>
      </c>
      <c r="C5" s="82" t="s">
        <v>181</v>
      </c>
      <c r="D5" s="327"/>
    </row>
    <row r="6" spans="1:10" ht="30">
      <c r="A6" s="385"/>
      <c r="B6" s="86" t="s">
        <v>179</v>
      </c>
      <c r="C6" s="82" t="s">
        <v>182</v>
      </c>
      <c r="D6" s="327"/>
    </row>
    <row r="7" spans="1:10" ht="30">
      <c r="A7" s="385"/>
      <c r="B7" s="87" t="s">
        <v>183</v>
      </c>
      <c r="C7" s="82" t="s">
        <v>184</v>
      </c>
      <c r="D7" s="327"/>
    </row>
    <row r="8" spans="1:10" ht="60">
      <c r="A8" s="385"/>
      <c r="B8" s="91" t="s">
        <v>185</v>
      </c>
      <c r="C8" s="90" t="s">
        <v>186</v>
      </c>
      <c r="D8" s="327"/>
      <c r="J8" s="53"/>
    </row>
    <row r="9" spans="1:10">
      <c r="A9" s="385"/>
      <c r="B9" s="390"/>
      <c r="C9" s="389"/>
      <c r="D9" s="327"/>
    </row>
    <row r="10" spans="1:10" ht="14.25" customHeight="1">
      <c r="A10" s="385"/>
      <c r="B10" s="390"/>
      <c r="C10" s="389"/>
      <c r="D10" s="327"/>
    </row>
    <row r="11" spans="1:10" ht="15" hidden="1" customHeight="1">
      <c r="A11" s="89"/>
      <c r="B11" s="89"/>
      <c r="C11" s="89"/>
      <c r="D11" s="327"/>
    </row>
    <row r="12" spans="1:10" ht="31.5" customHeight="1">
      <c r="A12" s="386" t="s">
        <v>443</v>
      </c>
      <c r="B12" s="83" t="s">
        <v>442</v>
      </c>
      <c r="C12" s="83" t="s">
        <v>195</v>
      </c>
      <c r="D12" s="327"/>
    </row>
    <row r="13" spans="1:10" ht="60">
      <c r="A13" s="387"/>
      <c r="B13" s="83" t="s">
        <v>187</v>
      </c>
      <c r="C13" s="83" t="s">
        <v>196</v>
      </c>
      <c r="D13" s="327"/>
    </row>
    <row r="14" spans="1:10" ht="30">
      <c r="A14" s="387"/>
      <c r="B14" s="83" t="s">
        <v>188</v>
      </c>
      <c r="C14" s="83" t="s">
        <v>192</v>
      </c>
      <c r="D14" s="327"/>
    </row>
    <row r="15" spans="1:10" ht="60">
      <c r="A15" s="387"/>
      <c r="B15" s="83" t="s">
        <v>189</v>
      </c>
      <c r="C15" s="83" t="s">
        <v>193</v>
      </c>
      <c r="D15" s="327"/>
    </row>
    <row r="16" spans="1:10" ht="45">
      <c r="A16" s="387"/>
      <c r="B16" s="83" t="s">
        <v>440</v>
      </c>
      <c r="C16" s="83" t="s">
        <v>194</v>
      </c>
      <c r="D16" s="327"/>
    </row>
    <row r="17" spans="1:4" ht="30">
      <c r="A17" s="387"/>
      <c r="B17" s="82" t="s">
        <v>190</v>
      </c>
      <c r="C17" s="84" t="s">
        <v>199</v>
      </c>
      <c r="D17" s="327"/>
    </row>
    <row r="18" spans="1:4" ht="30">
      <c r="A18" s="387"/>
      <c r="B18" s="83" t="s">
        <v>191</v>
      </c>
      <c r="C18" s="83" t="s">
        <v>198</v>
      </c>
      <c r="D18" s="327"/>
    </row>
    <row r="19" spans="1:4" ht="45">
      <c r="A19" s="387"/>
      <c r="B19" s="84" t="s">
        <v>441</v>
      </c>
      <c r="C19" s="82" t="s">
        <v>197</v>
      </c>
      <c r="D19" s="327"/>
    </row>
    <row r="20" spans="1:4">
      <c r="A20" s="387"/>
      <c r="B20" s="85"/>
      <c r="C20" s="85"/>
      <c r="D20" s="327"/>
    </row>
    <row r="21" spans="1:4">
      <c r="A21" s="387"/>
      <c r="B21" s="85"/>
      <c r="C21" s="85"/>
      <c r="D21" s="327"/>
    </row>
    <row r="22" spans="1:4">
      <c r="A22" s="388"/>
      <c r="B22" s="85"/>
      <c r="C22" s="85"/>
      <c r="D22" s="328"/>
    </row>
  </sheetData>
  <mergeCells count="6">
    <mergeCell ref="A2:D2"/>
    <mergeCell ref="A4:A10"/>
    <mergeCell ref="A12:A22"/>
    <mergeCell ref="D4:D22"/>
    <mergeCell ref="C9:C10"/>
    <mergeCell ref="B9:B10"/>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17"/>
  <sheetViews>
    <sheetView workbookViewId="0">
      <selection activeCell="A3" sqref="A3"/>
    </sheetView>
  </sheetViews>
  <sheetFormatPr baseColWidth="10" defaultColWidth="9.140625" defaultRowHeight="15"/>
  <cols>
    <col min="1" max="3" width="50.7109375" customWidth="1"/>
  </cols>
  <sheetData>
    <row r="2" spans="1:3" ht="18.75">
      <c r="A2" s="391" t="s">
        <v>44</v>
      </c>
      <c r="B2" s="391"/>
      <c r="C2" s="391"/>
    </row>
    <row r="3" spans="1:3" ht="30" customHeight="1">
      <c r="A3" s="176" t="s">
        <v>26</v>
      </c>
      <c r="B3" s="23" t="s">
        <v>45</v>
      </c>
      <c r="C3" s="23" t="s">
        <v>46</v>
      </c>
    </row>
    <row r="4" spans="1:3" ht="15" customHeight="1">
      <c r="A4" s="392" t="s">
        <v>576</v>
      </c>
      <c r="B4" s="19" t="s">
        <v>200</v>
      </c>
      <c r="C4" s="19" t="s">
        <v>205</v>
      </c>
    </row>
    <row r="5" spans="1:3" ht="33" customHeight="1">
      <c r="A5" s="393"/>
      <c r="B5" s="19" t="s">
        <v>201</v>
      </c>
      <c r="C5" s="19" t="s">
        <v>206</v>
      </c>
    </row>
    <row r="6" spans="1:3" ht="15" customHeight="1">
      <c r="A6" s="393"/>
      <c r="B6" s="19" t="s">
        <v>202</v>
      </c>
      <c r="C6" s="19" t="s">
        <v>207</v>
      </c>
    </row>
    <row r="7" spans="1:3" ht="30">
      <c r="A7" s="393"/>
      <c r="B7" s="19" t="s">
        <v>203</v>
      </c>
      <c r="C7" s="19" t="s">
        <v>208</v>
      </c>
    </row>
    <row r="8" spans="1:3" ht="15" customHeight="1">
      <c r="A8" s="393"/>
      <c r="B8" s="19" t="s">
        <v>204</v>
      </c>
      <c r="C8" s="19" t="s">
        <v>209</v>
      </c>
    </row>
    <row r="9" spans="1:3" ht="15" customHeight="1">
      <c r="A9" s="393"/>
      <c r="B9" s="20"/>
      <c r="C9" s="20"/>
    </row>
    <row r="10" spans="1:3" ht="15" customHeight="1">
      <c r="A10" s="393"/>
      <c r="B10" s="20"/>
      <c r="C10" s="20"/>
    </row>
    <row r="11" spans="1:3">
      <c r="A11" s="394" t="s">
        <v>444</v>
      </c>
      <c r="B11" s="19" t="s">
        <v>210</v>
      </c>
      <c r="C11" s="19" t="s">
        <v>217</v>
      </c>
    </row>
    <row r="12" spans="1:3" ht="30">
      <c r="A12" s="395"/>
      <c r="B12" s="19" t="s">
        <v>211</v>
      </c>
      <c r="C12" s="19" t="s">
        <v>218</v>
      </c>
    </row>
    <row r="13" spans="1:3">
      <c r="A13" s="395"/>
      <c r="B13" s="19" t="s">
        <v>212</v>
      </c>
      <c r="C13" s="19" t="s">
        <v>219</v>
      </c>
    </row>
    <row r="14" spans="1:3">
      <c r="A14" s="395"/>
      <c r="B14" s="19" t="s">
        <v>213</v>
      </c>
      <c r="C14" s="19" t="s">
        <v>220</v>
      </c>
    </row>
    <row r="15" spans="1:3" ht="30">
      <c r="A15" s="395"/>
      <c r="B15" s="19" t="s">
        <v>214</v>
      </c>
      <c r="C15" s="19"/>
    </row>
    <row r="16" spans="1:3">
      <c r="A16" s="396"/>
      <c r="B16" s="19" t="s">
        <v>215</v>
      </c>
      <c r="C16" s="19" t="s">
        <v>221</v>
      </c>
    </row>
    <row r="17" spans="1:3">
      <c r="A17" s="20"/>
      <c r="B17" s="19" t="s">
        <v>216</v>
      </c>
      <c r="C17" s="19" t="s">
        <v>222</v>
      </c>
    </row>
  </sheetData>
  <mergeCells count="3">
    <mergeCell ref="A2:C2"/>
    <mergeCell ref="A4:A10"/>
    <mergeCell ref="A11:A1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BE7CE4A30A3E46BA507DDFCD54CBEF" ma:contentTypeVersion="16" ma:contentTypeDescription="Crear nuevo documento." ma:contentTypeScope="" ma:versionID="870cf2d10b6a66b3f5deabef3d292aec">
  <xsd:schema xmlns:xsd="http://www.w3.org/2001/XMLSchema" xmlns:xs="http://www.w3.org/2001/XMLSchema" xmlns:p="http://schemas.microsoft.com/office/2006/metadata/properties" xmlns:ns2="8e052d06-f6ad-4f9f-88fa-b7dab27e042d" xmlns:ns3="2c62c64b-f363-4a6f-b41f-e132661ac55d" targetNamespace="http://schemas.microsoft.com/office/2006/metadata/properties" ma:root="true" ma:fieldsID="c5949aa4d6322eee36c3c08bdbd2cc21" ns2:_="" ns3:_="">
    <xsd:import namespace="8e052d06-f6ad-4f9f-88fa-b7dab27e042d"/>
    <xsd:import namespace="2c62c64b-f363-4a6f-b41f-e132661ac55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52d06-f6ad-4f9f-88fa-b7dab27e0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c72666d-2c2f-4e10-8e12-5ac1c5e0b0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62c64b-f363-4a6f-b41f-e132661ac55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7cd97c95-354e-44e5-a334-f0a55b310a4e}" ma:internalName="TaxCatchAll" ma:showField="CatchAllData" ma:web="2c62c64b-f363-4a6f-b41f-e132661ac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052d06-f6ad-4f9f-88fa-b7dab27e042d">
      <Terms xmlns="http://schemas.microsoft.com/office/infopath/2007/PartnerControls"/>
    </lcf76f155ced4ddcb4097134ff3c332f>
    <TaxCatchAll xmlns="2c62c64b-f363-4a6f-b41f-e132661ac55d"/>
    <SharedWithUsers xmlns="2c62c64b-f363-4a6f-b41f-e132661ac55d">
      <UserInfo>
        <DisplayName>Juan isais Ruiz</DisplayName>
        <AccountId>132</AccountId>
        <AccountType/>
      </UserInfo>
    </SharedWithUsers>
  </documentManagement>
</p:properties>
</file>

<file path=customXml/itemProps1.xml><?xml version="1.0" encoding="utf-8"?>
<ds:datastoreItem xmlns:ds="http://schemas.openxmlformats.org/officeDocument/2006/customXml" ds:itemID="{D10B014F-3368-4363-98E9-96FB82161A46}">
  <ds:schemaRefs>
    <ds:schemaRef ds:uri="http://schemas.microsoft.com/sharepoint/v3/contenttype/forms"/>
  </ds:schemaRefs>
</ds:datastoreItem>
</file>

<file path=customXml/itemProps2.xml><?xml version="1.0" encoding="utf-8"?>
<ds:datastoreItem xmlns:ds="http://schemas.openxmlformats.org/officeDocument/2006/customXml" ds:itemID="{E9908EE4-8D1B-4CD1-A047-E92C3DEF6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52d06-f6ad-4f9f-88fa-b7dab27e042d"/>
    <ds:schemaRef ds:uri="2c62c64b-f363-4a6f-b41f-e132661a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B0A5FB-3695-4BFB-B704-5EFF037496D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8e052d06-f6ad-4f9f-88fa-b7dab27e042d"/>
    <ds:schemaRef ds:uri="2c62c64b-f363-4a6f-b41f-e132661ac55d"/>
    <ds:schemaRef ds:uri="http://schemas.openxmlformats.org/package/2006/metadata/core-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vt:i4>
      </vt:variant>
    </vt:vector>
  </HeadingPairs>
  <TitlesOfParts>
    <vt:vector size="24" baseType="lpstr">
      <vt:lpstr>H1 </vt:lpstr>
      <vt:lpstr>H2</vt:lpstr>
      <vt:lpstr>H3</vt:lpstr>
      <vt:lpstr>H4</vt:lpstr>
      <vt:lpstr>H5</vt:lpstr>
      <vt:lpstr>H6</vt:lpstr>
      <vt:lpstr>H7</vt:lpstr>
      <vt:lpstr>H8</vt:lpstr>
      <vt:lpstr>H9</vt:lpstr>
      <vt:lpstr>H10</vt:lpstr>
      <vt:lpstr>H11</vt:lpstr>
      <vt:lpstr>H12</vt:lpstr>
      <vt:lpstr>H13</vt:lpstr>
      <vt:lpstr>H14</vt:lpstr>
      <vt:lpstr>H15</vt:lpstr>
      <vt:lpstr>H16</vt:lpstr>
      <vt:lpstr>H17</vt:lpstr>
      <vt:lpstr>H18</vt:lpstr>
      <vt:lpstr>H19</vt:lpstr>
      <vt:lpstr>H20</vt:lpstr>
      <vt:lpstr>H21</vt:lpstr>
      <vt:lpstr>'H13'!_ftnref1</vt:lpstr>
      <vt:lpstr>'H18'!_Toc119511076</vt:lpstr>
      <vt:lpstr>'H6'!Área_de_impresión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Gautreaux</dc:creator>
  <cp:lastModifiedBy>rubenpc</cp:lastModifiedBy>
  <cp:revision/>
  <cp:lastPrinted>2025-05-26T20:59:22Z</cp:lastPrinted>
  <dcterms:created xsi:type="dcterms:W3CDTF">2024-01-31T16:37:25Z</dcterms:created>
  <dcterms:modified xsi:type="dcterms:W3CDTF">2025-10-01T19:20:13Z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0x010100B9BE7CE4A30A3E46BA507DDFCD54CBEF</vt:lpwstr>
  </property>
  <property fmtid="{D5CDD505-2E9C-101B-9397-08002B2CF9AE}" pid="3" name="MediaServiceImageTags">
    <vt:lpwstr/>
  </property>
</Properties>
</file>